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22500" windowHeight="10800"/>
  </bookViews>
  <sheets>
    <sheet name="Main" sheetId="1" r:id="rId1"/>
    <sheet name="Calcs" sheetId="2" r:id="rId2"/>
    <sheet name="Settings" sheetId="3" r:id="rId3"/>
    <sheet name="Version History" sheetId="4" r:id="rId4"/>
  </sheets>
  <definedNames>
    <definedName name="Ax">Calcs!$B$26</definedName>
    <definedName name="Ay">Calcs!$C$26</definedName>
    <definedName name="Bx">Calcs!$B$27</definedName>
    <definedName name="By">Calcs!$C$27</definedName>
    <definedName name="Coll_raw">Main!$C$9</definedName>
    <definedName name="Cx">Calcs!$B$28</definedName>
    <definedName name="Cy">Calcs!$C$28</definedName>
    <definedName name="Dx">Calcs!$B$29</definedName>
    <definedName name="Dy">Calcs!$C$29</definedName>
    <definedName name="hide_jaw_labels">Settings!$A$14</definedName>
    <definedName name="lat_limit_max">Settings!$C$10</definedName>
    <definedName name="lat_limit_min">Settings!$B$10</definedName>
    <definedName name="lng_limit_max">Settings!$C$11</definedName>
    <definedName name="lng_limit_min">Settings!$B$11</definedName>
    <definedName name="mag">Calcs!$S$6</definedName>
    <definedName name="offset_dist">Calcs!$X$13</definedName>
    <definedName name="show_jaw_labels">Settings!$A$14</definedName>
    <definedName name="VRT">Main!$C$10</definedName>
    <definedName name="vrt_limit_max">Settings!$C$9</definedName>
    <definedName name="vrt_limit_min">Settings!$B$9</definedName>
    <definedName name="X1_raw">Main!$C$5</definedName>
    <definedName name="X2_raw">Main!$C$6</definedName>
    <definedName name="xmargin">Settings!$E$5</definedName>
    <definedName name="Y1_raw">Main!$C$7</definedName>
    <definedName name="Y2_raw">Main!$C$8</definedName>
    <definedName name="ymargin">Settings!$F$5</definedName>
  </definedNames>
  <calcPr calcId="145621"/>
</workbook>
</file>

<file path=xl/calcChain.xml><?xml version="1.0" encoding="utf-8"?>
<calcChain xmlns="http://schemas.openxmlformats.org/spreadsheetml/2006/main">
  <c r="Y19" i="2" l="1"/>
  <c r="Y18" i="2"/>
  <c r="Y17" i="2"/>
  <c r="Y16" i="2"/>
  <c r="U3" i="2" l="1"/>
  <c r="S3" i="2"/>
  <c r="J4" i="2" l="1"/>
  <c r="J22" i="2" s="1"/>
  <c r="S6" i="2" l="1"/>
  <c r="I5" i="2"/>
  <c r="I23" i="2" s="1"/>
  <c r="I6" i="2"/>
  <c r="I24" i="2" s="1"/>
  <c r="I7" i="2"/>
  <c r="I25" i="2" s="1"/>
  <c r="I8" i="2"/>
  <c r="I26" i="2" s="1"/>
  <c r="J8" i="2"/>
  <c r="J26" i="2" s="1"/>
  <c r="J7" i="2"/>
  <c r="J25" i="2" s="1"/>
  <c r="J5" i="2"/>
  <c r="J23" i="2" s="1"/>
  <c r="J6" i="2"/>
  <c r="J24" i="2" s="1"/>
  <c r="I4" i="2"/>
  <c r="I22" i="2" s="1"/>
  <c r="B6" i="2"/>
  <c r="B12" i="2" s="1"/>
  <c r="B5" i="2"/>
  <c r="B10" i="2" s="1"/>
  <c r="B14" i="2" s="1"/>
  <c r="B4" i="2"/>
  <c r="A12" i="2" s="1"/>
  <c r="B3" i="2"/>
  <c r="A10" i="2" s="1"/>
  <c r="A14" i="2" s="1"/>
  <c r="B20" i="2" l="1"/>
  <c r="A22" i="2"/>
  <c r="B22" i="2"/>
  <c r="A20" i="2"/>
  <c r="A18" i="2"/>
  <c r="B18" i="2"/>
  <c r="A11" i="2"/>
  <c r="A19" i="2" s="1"/>
  <c r="A13" i="2"/>
  <c r="A21" i="2" s="1"/>
  <c r="B11" i="2"/>
  <c r="B19" i="2" s="1"/>
  <c r="B13" i="2"/>
  <c r="B21" i="2" s="1"/>
  <c r="B26" i="2" l="1"/>
  <c r="B28" i="2"/>
  <c r="B30" i="2"/>
  <c r="C28" i="2"/>
  <c r="B27" i="2"/>
  <c r="C30" i="2"/>
  <c r="C26" i="2"/>
  <c r="B29" i="2"/>
  <c r="C29" i="2"/>
  <c r="C27" i="2"/>
  <c r="B33" i="2" l="1"/>
  <c r="B34" i="2"/>
  <c r="C39" i="2" s="1"/>
  <c r="B35" i="2"/>
  <c r="B36" i="2"/>
  <c r="C40" i="2" s="1"/>
  <c r="S19" i="2"/>
  <c r="S17" i="2"/>
  <c r="R17" i="2"/>
  <c r="R16" i="2"/>
  <c r="S16" i="2"/>
  <c r="R19" i="2"/>
  <c r="R18" i="2"/>
  <c r="L32" i="2"/>
  <c r="S18" i="2"/>
  <c r="K36" i="2"/>
  <c r="L34" i="2"/>
  <c r="K32" i="2"/>
  <c r="L36" i="2"/>
  <c r="L30" i="2"/>
  <c r="K34" i="2"/>
  <c r="K30" i="2"/>
  <c r="B40" i="2" l="1"/>
  <c r="B57" i="2"/>
  <c r="B39" i="2"/>
  <c r="B44" i="2" s="1"/>
  <c r="G16" i="2" s="1"/>
  <c r="B56" i="2"/>
  <c r="T19" i="2"/>
  <c r="V19" i="2" s="1"/>
  <c r="X19" i="2" s="1"/>
  <c r="T18" i="2"/>
  <c r="V18" i="2" s="1"/>
  <c r="X18" i="2" s="1"/>
  <c r="T17" i="2"/>
  <c r="V17" i="2" s="1"/>
  <c r="X17" i="2" s="1"/>
  <c r="U19" i="2" l="1"/>
  <c r="W19" i="2" s="1"/>
  <c r="U18" i="2"/>
  <c r="W18" i="2" s="1"/>
  <c r="T16" i="2"/>
  <c r="U16" i="2" s="1"/>
  <c r="W16" i="2" s="1"/>
  <c r="U17" i="2"/>
  <c r="W17" i="2" s="1"/>
  <c r="C25" i="1"/>
  <c r="B45" i="2"/>
  <c r="G14" i="2"/>
  <c r="G17" i="2"/>
  <c r="G18" i="2"/>
  <c r="G15" i="2"/>
  <c r="B48" i="2" l="1"/>
  <c r="C15" i="1"/>
  <c r="F15" i="2"/>
  <c r="V16" i="2"/>
  <c r="X16" i="2" s="1"/>
  <c r="F16" i="2"/>
  <c r="F14" i="2"/>
  <c r="F18" i="2"/>
  <c r="F17" i="2"/>
  <c r="B49" i="2" l="1"/>
  <c r="C16" i="1" s="1"/>
  <c r="F48" i="2"/>
  <c r="C14" i="1" s="1"/>
  <c r="C53" i="2"/>
  <c r="B53" i="2" s="1"/>
  <c r="C52" i="2" l="1"/>
  <c r="B52" i="2" s="1"/>
  <c r="F49" i="2"/>
  <c r="I14" i="2" s="1"/>
  <c r="M16" i="2"/>
  <c r="J16" i="2"/>
  <c r="J18" i="2"/>
  <c r="J15" i="2"/>
  <c r="J17" i="2"/>
  <c r="J14" i="2"/>
  <c r="N16" i="2" l="1"/>
  <c r="I17" i="2"/>
  <c r="I16" i="2"/>
  <c r="I18" i="2"/>
  <c r="I15" i="2"/>
  <c r="M14" i="2"/>
  <c r="M17" i="2"/>
  <c r="M18" i="2"/>
  <c r="M15" i="2"/>
  <c r="N14" i="2" l="1"/>
  <c r="N17" i="2"/>
  <c r="N18" i="2"/>
  <c r="N15" i="2"/>
</calcChain>
</file>

<file path=xl/sharedStrings.xml><?xml version="1.0" encoding="utf-8"?>
<sst xmlns="http://schemas.openxmlformats.org/spreadsheetml/2006/main" count="121" uniqueCount="84">
  <si>
    <t>X1</t>
  </si>
  <si>
    <t>X2</t>
  </si>
  <si>
    <t>Y1</t>
  </si>
  <si>
    <t>Y2</t>
  </si>
  <si>
    <t>Coll</t>
  </si>
  <si>
    <t>cosT</t>
  </si>
  <si>
    <t>sinT</t>
  </si>
  <si>
    <t>VRT</t>
  </si>
  <si>
    <t>x</t>
  </si>
  <si>
    <t>y</t>
  </si>
  <si>
    <t>LNG</t>
  </si>
  <si>
    <t>MIN Y</t>
  </si>
  <si>
    <t>MIN X</t>
  </si>
  <si>
    <t>MAX X</t>
  </si>
  <si>
    <t>LAT</t>
  </si>
  <si>
    <t>MAX Y</t>
  </si>
  <si>
    <t>offset</t>
  </si>
  <si>
    <t>OK?</t>
  </si>
  <si>
    <t>MIN</t>
  </si>
  <si>
    <t>MAX</t>
  </si>
  <si>
    <t>Magnif</t>
  </si>
  <si>
    <t>Setup Field Parameters</t>
  </si>
  <si>
    <t>Detector sizes</t>
  </si>
  <si>
    <t>Detector corners with offsets</t>
  </si>
  <si>
    <t>Detector corners with optimal offset</t>
  </si>
  <si>
    <t>Detector LIMITS</t>
  </si>
  <si>
    <t>x1</t>
  </si>
  <si>
    <t>x2</t>
  </si>
  <si>
    <t>y1</t>
  </si>
  <si>
    <t>y2</t>
  </si>
  <si>
    <t>Jaw coordinates (no colli rotation)</t>
  </si>
  <si>
    <t>Get ranges of available detector offsets. Takes into account max/min lng/lat positons</t>
  </si>
  <si>
    <t>Detector Corners (calculated from sizes)</t>
  </si>
  <si>
    <t>New suggested offset: This just centres the EPID to the jaw positions if it doesn't fit.</t>
  </si>
  <si>
    <t>Magnification factor calculated from VRT position</t>
  </si>
  <si>
    <t>Field corners projected to detector surface with colli rotation</t>
  </si>
  <si>
    <t>Field corners projected to detector surface</t>
  </si>
  <si>
    <t>Detector corners to display</t>
  </si>
  <si>
    <t>Offset to display: If the user forces a user-entered offset then it will use that, otherwise use the calculated one</t>
  </si>
  <si>
    <t>Detector corners with user offset</t>
  </si>
  <si>
    <t>Jaws coverted to actual positions (e.g x1 = -x1)</t>
  </si>
  <si>
    <t>Get maximum and min X and Y positions of radiation field</t>
  </si>
  <si>
    <t>Calculate suggested offset. If it fits (if allowable offset ranges straddle 0) it will suggest a 0 cm offset, otherwise use the minimum required offset</t>
  </si>
  <si>
    <t>Fits with suggested offset? (1 or 0) = (true or false)</t>
  </si>
  <si>
    <t>Does user defined offsets fit? Use these to warn user if it does not fit</t>
  </si>
  <si>
    <t>Calculated Positions</t>
  </si>
  <si>
    <t>Custom Positions</t>
  </si>
  <si>
    <t>IMAGER POSITION CALCULATOR</t>
  </si>
  <si>
    <t>Cos and sin of the collimator angle, used to calculate points with colli rotation</t>
  </si>
  <si>
    <t>User forces display of entered offsets? This cell is linked to the checkbox in Sheet1</t>
  </si>
  <si>
    <t>Calculate offsets for rendering text</t>
  </si>
  <si>
    <t>dx</t>
  </si>
  <si>
    <t>dy</t>
  </si>
  <si>
    <t>dxnrom</t>
  </si>
  <si>
    <t>dynorm</t>
  </si>
  <si>
    <t>length</t>
  </si>
  <si>
    <t>label</t>
  </si>
  <si>
    <t>dx(X1,X2)|Y2</t>
  </si>
  <si>
    <t>dy(X1,X2)|Y2</t>
  </si>
  <si>
    <t>dx(X1,X2)|Y1</t>
  </si>
  <si>
    <t>dy(X1,X2)|Y1</t>
  </si>
  <si>
    <t>dx(Y1,Y2)|X1</t>
  </si>
  <si>
    <t>dy(Y1,Y2)|X1</t>
  </si>
  <si>
    <t>dx(Y1,Y2)|X2</t>
  </si>
  <si>
    <t>dy(Y1,Y2)|X2</t>
  </si>
  <si>
    <t>A</t>
  </si>
  <si>
    <t>B</t>
  </si>
  <si>
    <t>C</t>
  </si>
  <si>
    <t>D</t>
  </si>
  <si>
    <t>Whether to hide Jaw labels on plot. This is linked to checkbox on Main sheet</t>
  </si>
  <si>
    <t>text offset dist</t>
  </si>
  <si>
    <t>cm</t>
  </si>
  <si>
    <t>Spreadsheet written by Andrew McGrath 2017 [andrew.n.mcgrath@gmail.com]</t>
  </si>
  <si>
    <t>X (cm)</t>
  </si>
  <si>
    <t>Y (cm)</t>
  </si>
  <si>
    <t>Margin to aim for -&gt; will try to suggest an offset that maintains at minimum this margin</t>
  </si>
  <si>
    <t>LAT (cm)</t>
  </si>
  <si>
    <t>LNG (cm)</t>
  </si>
  <si>
    <t>V1.0: 14/12/2017</t>
  </si>
  <si>
    <t>V1.1: 09/02/2018</t>
  </si>
  <si>
    <t>Added a margin to detector edges. The spreadsheet will attempt to keep at minimum this margin between the radiation field edge and the detector edges.</t>
  </si>
  <si>
    <t>Added a settings page &amp; cleaned up the calc page</t>
  </si>
  <si>
    <t>THE SOFTWARE IS PROVIDED “AS IS”, WITHOUT WARRANTY OF ANY KIND, EXPRESS OR IMPLIED, INCLUDING BUT NOT LIMITED TO THE WARRANTIES OF MERCHANTABILITY, FITNESS FOR A PARTICULAR PURPOSE AND NONINFRINGEMENT. IN NO EVENT SHALL THE AUTHORS OR COPYRIGHT HOLDERS BE LIABLE FOR ANY CLAIM, DAMAGES OR OTHER LIABILITY, WHETHER IN AN ACTION OF CONTRACT, TORT OR OTHERWISE, ARISING FROM, OUT OF OR IN CONNECTION WITH THE SOFTWARE OR THE USE OR OTHER DEALINGS IN THE SOFTWARE.</t>
  </si>
  <si>
    <t>Disclaimer: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</si>
</sst>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quot;cm&quot;"/>
    <numFmt numFmtId="166" formatCode="0.0\ &quot;°&quot;"/>
  </numFmts>
  <fonts count="8" x14ac:knownFonts="1">
    <font>
      <sz val="11"/>
      <color theme="1"/>
      <name val="Calibri"/>
      <family val="2"/>
      <scheme val="minor"/>
    </font>
    <font>
      <b/>
      <sz val="11"/>
      <color theme="1"/>
      <name val="Calibri"/>
      <family val="2"/>
      <scheme val="minor"/>
    </font>
    <font>
      <b/>
      <u/>
      <sz val="11"/>
      <color theme="1"/>
      <name val="Calibri"/>
      <family val="2"/>
      <scheme val="minor"/>
    </font>
    <font>
      <b/>
      <sz val="16"/>
      <color theme="0"/>
      <name val="Calibri"/>
      <family val="2"/>
      <scheme val="minor"/>
    </font>
    <font>
      <sz val="8"/>
      <color rgb="FF000000"/>
      <name val="Segoe UI"/>
      <family val="2"/>
    </font>
    <font>
      <sz val="8"/>
      <color rgb="FF000000"/>
      <name val="Tahoma"/>
      <family val="2"/>
    </font>
    <font>
      <sz val="12"/>
      <color rgb="FF6A737D"/>
      <name val="Segoe UI"/>
      <family val="2"/>
    </font>
    <font>
      <sz val="11"/>
      <color theme="1" tint="0.499984740745262"/>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rgb="FF7030A0"/>
        <bgColor indexed="64"/>
      </patternFill>
    </fill>
    <fill>
      <patternFill patternType="solid">
        <fgColor theme="6" tint="0.79998168889431442"/>
        <bgColor indexed="64"/>
      </patternFill>
    </fill>
  </fills>
  <borders count="19">
    <border>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s>
  <cellStyleXfs count="1">
    <xf numFmtId="0" fontId="0" fillId="0" borderId="0"/>
  </cellStyleXfs>
  <cellXfs count="51">
    <xf numFmtId="0" fontId="0" fillId="0" borderId="0" xfId="0"/>
    <xf numFmtId="0" fontId="0" fillId="0" borderId="0" xfId="0" quotePrefix="1"/>
    <xf numFmtId="2" fontId="0" fillId="0" borderId="0" xfId="0" applyNumberFormat="1"/>
    <xf numFmtId="164" fontId="0" fillId="0" borderId="0" xfId="0" applyNumberFormat="1"/>
    <xf numFmtId="0" fontId="0" fillId="0" borderId="0" xfId="0" applyAlignment="1">
      <alignment vertical="center"/>
    </xf>
    <xf numFmtId="0" fontId="1" fillId="0" borderId="5" xfId="0" applyFont="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3" borderId="0" xfId="0" applyFill="1" applyAlignment="1">
      <alignment vertical="center"/>
    </xf>
    <xf numFmtId="165" fontId="0" fillId="2" borderId="1" xfId="0" applyNumberFormat="1" applyFill="1" applyBorder="1" applyAlignment="1" applyProtection="1">
      <alignment horizontal="center" vertical="center"/>
      <protection locked="0"/>
    </xf>
    <xf numFmtId="0" fontId="0" fillId="0" borderId="0" xfId="0" applyAlignment="1">
      <alignment horizontal="center"/>
    </xf>
    <xf numFmtId="0" fontId="0" fillId="0" borderId="7" xfId="0" quotePrefix="1" applyBorder="1"/>
    <xf numFmtId="0" fontId="0" fillId="0" borderId="8" xfId="0" applyBorder="1"/>
    <xf numFmtId="0" fontId="0" fillId="0" borderId="9" xfId="0" applyBorder="1"/>
    <xf numFmtId="0" fontId="0" fillId="0" borderId="10" xfId="0" applyBorder="1"/>
    <xf numFmtId="0" fontId="0" fillId="0" borderId="0" xfId="0" applyBorder="1"/>
    <xf numFmtId="0" fontId="0" fillId="0" borderId="11" xfId="0" applyBorder="1"/>
    <xf numFmtId="0" fontId="0" fillId="0" borderId="12" xfId="0" applyBorder="1" applyAlignment="1">
      <alignment vertical="center"/>
    </xf>
    <xf numFmtId="0" fontId="0" fillId="0" borderId="13" xfId="0" applyBorder="1" applyAlignment="1">
      <alignment vertical="center"/>
    </xf>
    <xf numFmtId="0" fontId="0" fillId="0" borderId="13" xfId="0" applyBorder="1"/>
    <xf numFmtId="0" fontId="0" fillId="0" borderId="14" xfId="0" applyBorder="1"/>
    <xf numFmtId="0" fontId="0" fillId="0" borderId="7" xfId="0" applyBorder="1"/>
    <xf numFmtId="0" fontId="0" fillId="0" borderId="12" xfId="0" applyBorder="1"/>
    <xf numFmtId="164" fontId="0" fillId="0" borderId="10" xfId="0" applyNumberFormat="1" applyBorder="1"/>
    <xf numFmtId="164" fontId="0" fillId="0" borderId="0" xfId="0" applyNumberFormat="1" applyBorder="1"/>
    <xf numFmtId="164" fontId="0" fillId="0" borderId="12" xfId="0" applyNumberFormat="1" applyBorder="1"/>
    <xf numFmtId="164" fontId="0" fillId="0" borderId="13" xfId="0" applyNumberFormat="1" applyBorder="1"/>
    <xf numFmtId="0" fontId="0" fillId="0" borderId="0" xfId="0" applyFill="1" applyBorder="1"/>
    <xf numFmtId="0" fontId="0" fillId="0" borderId="0" xfId="0" applyProtection="1">
      <protection locked="0"/>
    </xf>
    <xf numFmtId="2" fontId="0" fillId="4" borderId="1" xfId="0" applyNumberFormat="1" applyFill="1" applyBorder="1" applyAlignment="1">
      <alignment horizontal="center" vertical="center"/>
    </xf>
    <xf numFmtId="2" fontId="0" fillId="2" borderId="1" xfId="0" applyNumberFormat="1" applyFill="1" applyBorder="1" applyAlignment="1" applyProtection="1">
      <alignment horizontal="center" vertical="center"/>
      <protection locked="0"/>
    </xf>
    <xf numFmtId="0" fontId="0" fillId="0" borderId="0" xfId="0" applyAlignment="1">
      <alignment horizontal="right"/>
    </xf>
    <xf numFmtId="165" fontId="0" fillId="2" borderId="15" xfId="0" applyNumberFormat="1" applyFill="1" applyBorder="1" applyAlignment="1" applyProtection="1">
      <alignment horizontal="center" vertical="center"/>
      <protection locked="0"/>
    </xf>
    <xf numFmtId="165" fontId="0" fillId="2" borderId="17" xfId="0" applyNumberFormat="1" applyFill="1" applyBorder="1" applyAlignment="1" applyProtection="1">
      <alignment horizontal="center" vertical="center"/>
      <protection locked="0"/>
    </xf>
    <xf numFmtId="165" fontId="0" fillId="2" borderId="18" xfId="0" applyNumberFormat="1" applyFill="1" applyBorder="1" applyAlignment="1" applyProtection="1">
      <alignment horizontal="center" vertical="center"/>
      <protection locked="0"/>
    </xf>
    <xf numFmtId="2" fontId="0" fillId="4" borderId="15" xfId="0" applyNumberFormat="1" applyFill="1" applyBorder="1" applyAlignment="1">
      <alignment horizontal="center" vertical="center"/>
    </xf>
    <xf numFmtId="0" fontId="1" fillId="0" borderId="18" xfId="0" applyFont="1" applyBorder="1" applyAlignment="1">
      <alignment horizontal="center" vertical="center"/>
    </xf>
    <xf numFmtId="2" fontId="0" fillId="2" borderId="15" xfId="0" applyNumberFormat="1" applyFill="1" applyBorder="1" applyAlignment="1" applyProtection="1">
      <alignment horizontal="center" vertical="center"/>
      <protection locked="0"/>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0" fillId="0" borderId="17"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166" fontId="0" fillId="2" borderId="16" xfId="0" applyNumberFormat="1" applyFill="1" applyBorder="1" applyAlignment="1" applyProtection="1">
      <alignment horizontal="center" vertical="center"/>
      <protection locked="0"/>
    </xf>
    <xf numFmtId="0" fontId="3" fillId="3" borderId="0" xfId="0" applyFont="1" applyFill="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6" fillId="0" borderId="0" xfId="0" applyFont="1" applyAlignment="1">
      <alignment horizontal="center" wrapText="1"/>
    </xf>
    <xf numFmtId="0" fontId="7" fillId="0" borderId="0" xfId="0" applyFont="1" applyAlignment="1">
      <alignment horizontal="left" vertical="center" wrapText="1"/>
    </xf>
  </cellXfs>
  <cellStyles count="1">
    <cellStyle name="Normal" xfId="0" builtinId="0"/>
  </cellStyles>
  <dxfs count="4">
    <dxf>
      <fill>
        <patternFill>
          <bgColor rgb="FF92D050"/>
        </patternFill>
      </fill>
    </dxf>
    <dxf>
      <fill>
        <patternFill>
          <bgColor rgb="FFFFC000"/>
        </patternFill>
      </fill>
    </dxf>
    <dxf>
      <fill>
        <patternFill>
          <bgColor rgb="FF92D05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4887698403239591E-2"/>
          <c:y val="2.7705630224006565E-2"/>
          <c:w val="0.91732497609759067"/>
          <c:h val="0.94920634458932129"/>
        </c:manualLayout>
      </c:layout>
      <c:scatterChart>
        <c:scatterStyle val="lineMarker"/>
        <c:varyColors val="0"/>
        <c:ser>
          <c:idx val="0"/>
          <c:order val="0"/>
          <c:tx>
            <c:v>Jaws projected onto detector</c:v>
          </c:tx>
          <c:spPr>
            <a:ln w="19050" cap="rnd">
              <a:solidFill>
                <a:srgbClr val="00B0F0"/>
              </a:solidFill>
              <a:round/>
            </a:ln>
            <a:effectLst>
              <a:glow>
                <a:schemeClr val="accent1"/>
              </a:glow>
            </a:effectLst>
          </c:spPr>
          <c:marker>
            <c:symbol val="none"/>
          </c:marker>
          <c:xVal>
            <c:numRef>
              <c:f>Calcs!$B$26:$B$30</c:f>
              <c:numCache>
                <c:formatCode>0.0</c:formatCode>
                <c:ptCount val="5"/>
                <c:pt idx="0">
                  <c:v>-7.5</c:v>
                </c:pt>
                <c:pt idx="1">
                  <c:v>7.5</c:v>
                </c:pt>
                <c:pt idx="2">
                  <c:v>7.5</c:v>
                </c:pt>
                <c:pt idx="3">
                  <c:v>-7.5</c:v>
                </c:pt>
                <c:pt idx="4">
                  <c:v>-7.5</c:v>
                </c:pt>
              </c:numCache>
            </c:numRef>
          </c:xVal>
          <c:yVal>
            <c:numRef>
              <c:f>Calcs!$C$26:$C$30</c:f>
              <c:numCache>
                <c:formatCode>0.0</c:formatCode>
                <c:ptCount val="5"/>
                <c:pt idx="0">
                  <c:v>-7.5</c:v>
                </c:pt>
                <c:pt idx="1">
                  <c:v>-7.5</c:v>
                </c:pt>
                <c:pt idx="2">
                  <c:v>7.5</c:v>
                </c:pt>
                <c:pt idx="3">
                  <c:v>7.5</c:v>
                </c:pt>
                <c:pt idx="4">
                  <c:v>-7.5</c:v>
                </c:pt>
              </c:numCache>
            </c:numRef>
          </c:yVal>
          <c:smooth val="0"/>
          <c:extLst xmlns:c16r2="http://schemas.microsoft.com/office/drawing/2015/06/chart">
            <c:ext xmlns:c16="http://schemas.microsoft.com/office/drawing/2014/chart" uri="{C3380CC4-5D6E-409C-BE32-E72D297353CC}">
              <c16:uniqueId val="{00000001-FB55-432F-981F-1D51597BB793}"/>
            </c:ext>
          </c:extLst>
        </c:ser>
        <c:ser>
          <c:idx val="1"/>
          <c:order val="1"/>
          <c:tx>
            <c:v>Detector</c:v>
          </c:tx>
          <c:spPr>
            <a:ln w="19050" cap="rnd">
              <a:solidFill>
                <a:schemeClr val="tx1"/>
              </a:solidFill>
              <a:round/>
            </a:ln>
            <a:effectLst/>
          </c:spPr>
          <c:marker>
            <c:symbol val="none"/>
          </c:marker>
          <c:xVal>
            <c:numRef>
              <c:f>Calcs!$M$14:$M$18</c:f>
              <c:numCache>
                <c:formatCode>General</c:formatCode>
                <c:ptCount val="5"/>
                <c:pt idx="0">
                  <c:v>-20</c:v>
                </c:pt>
                <c:pt idx="1">
                  <c:v>20</c:v>
                </c:pt>
                <c:pt idx="2">
                  <c:v>20</c:v>
                </c:pt>
                <c:pt idx="3">
                  <c:v>-20</c:v>
                </c:pt>
                <c:pt idx="4">
                  <c:v>-20</c:v>
                </c:pt>
              </c:numCache>
            </c:numRef>
          </c:xVal>
          <c:yVal>
            <c:numRef>
              <c:f>Calcs!$N$14:$N$18</c:f>
              <c:numCache>
                <c:formatCode>General</c:formatCode>
                <c:ptCount val="5"/>
                <c:pt idx="0">
                  <c:v>-15</c:v>
                </c:pt>
                <c:pt idx="1">
                  <c:v>-15</c:v>
                </c:pt>
                <c:pt idx="2">
                  <c:v>15</c:v>
                </c:pt>
                <c:pt idx="3">
                  <c:v>15</c:v>
                </c:pt>
                <c:pt idx="4">
                  <c:v>-15</c:v>
                </c:pt>
              </c:numCache>
            </c:numRef>
          </c:yVal>
          <c:smooth val="0"/>
          <c:extLst xmlns:c16r2="http://schemas.microsoft.com/office/drawing/2015/06/chart">
            <c:ext xmlns:c16="http://schemas.microsoft.com/office/drawing/2014/chart" uri="{C3380CC4-5D6E-409C-BE32-E72D297353CC}">
              <c16:uniqueId val="{00000003-FB55-432F-981F-1D51597BB793}"/>
            </c:ext>
          </c:extLst>
        </c:ser>
        <c:ser>
          <c:idx val="2"/>
          <c:order val="2"/>
          <c:tx>
            <c:v>Jaws</c:v>
          </c:tx>
          <c:spPr>
            <a:ln>
              <a:noFill/>
            </a:ln>
          </c:spPr>
          <c:marker>
            <c:symbol val="none"/>
          </c:marker>
          <c:dLbls>
            <c:dLbl>
              <c:idx val="0"/>
              <c:layout/>
              <c:tx>
                <c:strRef>
                  <c:f>Calcs!$Y$16</c:f>
                  <c:strCache>
                    <c:ptCount val="1"/>
                    <c:pt idx="0">
                      <c:v>Y2</c:v>
                    </c:pt>
                  </c:strCache>
                </c:strRef>
              </c:tx>
              <c:dLblPos val="ctr"/>
              <c:showLegendKey val="0"/>
              <c:showVal val="1"/>
              <c:showCatName val="0"/>
              <c:showSerName val="0"/>
              <c:showPercent val="0"/>
              <c:showBubbleSize val="0"/>
            </c:dLbl>
            <c:dLbl>
              <c:idx val="1"/>
              <c:layout/>
              <c:tx>
                <c:strRef>
                  <c:f>Calcs!$Y$17</c:f>
                  <c:strCache>
                    <c:ptCount val="1"/>
                    <c:pt idx="0">
                      <c:v>Y1</c:v>
                    </c:pt>
                  </c:strCache>
                </c:strRef>
              </c:tx>
              <c:dLblPos val="ctr"/>
              <c:showLegendKey val="0"/>
              <c:showVal val="1"/>
              <c:showCatName val="0"/>
              <c:showSerName val="0"/>
              <c:showPercent val="0"/>
              <c:showBubbleSize val="0"/>
            </c:dLbl>
            <c:dLbl>
              <c:idx val="2"/>
              <c:layout/>
              <c:tx>
                <c:strRef>
                  <c:f>Calcs!$Y$18</c:f>
                  <c:strCache>
                    <c:ptCount val="1"/>
                    <c:pt idx="0">
                      <c:v>X2</c:v>
                    </c:pt>
                  </c:strCache>
                </c:strRef>
              </c:tx>
              <c:dLblPos val="ctr"/>
              <c:showLegendKey val="0"/>
              <c:showVal val="1"/>
              <c:showCatName val="0"/>
              <c:showSerName val="0"/>
              <c:showPercent val="0"/>
              <c:showBubbleSize val="0"/>
            </c:dLbl>
            <c:dLbl>
              <c:idx val="3"/>
              <c:layout/>
              <c:tx>
                <c:strRef>
                  <c:f>Calcs!$Y$19</c:f>
                  <c:strCache>
                    <c:ptCount val="1"/>
                    <c:pt idx="0">
                      <c:v>X1</c:v>
                    </c:pt>
                  </c:strCache>
                </c:strRef>
              </c:tx>
              <c:dLblPos val="ctr"/>
              <c:showLegendKey val="0"/>
              <c:showVal val="1"/>
              <c:showCatName val="0"/>
              <c:showSerName val="0"/>
              <c:showPercent val="0"/>
              <c:showBubbleSize val="0"/>
            </c:dLbl>
            <c:spPr>
              <a:noFill/>
            </c:spPr>
            <c:txPr>
              <a:bodyPr/>
              <a:lstStyle/>
              <a:p>
                <a:pPr>
                  <a:defRPr b="1"/>
                </a:pPr>
                <a:endParaRPr lang="en-US"/>
              </a:p>
            </c:txPr>
            <c:dLblPos val="ctr"/>
            <c:showLegendKey val="0"/>
            <c:showVal val="1"/>
            <c:showCatName val="0"/>
            <c:showSerName val="0"/>
            <c:showPercent val="0"/>
            <c:showBubbleSize val="0"/>
            <c:showLeaderLines val="0"/>
          </c:dLbls>
          <c:xVal>
            <c:numRef>
              <c:f>Calcs!$W$16:$W$19</c:f>
              <c:numCache>
                <c:formatCode>General</c:formatCode>
                <c:ptCount val="4"/>
                <c:pt idx="0">
                  <c:v>0</c:v>
                </c:pt>
                <c:pt idx="1">
                  <c:v>0</c:v>
                </c:pt>
                <c:pt idx="2">
                  <c:v>10.5</c:v>
                </c:pt>
                <c:pt idx="3">
                  <c:v>-10.5</c:v>
                </c:pt>
              </c:numCache>
            </c:numRef>
          </c:xVal>
          <c:yVal>
            <c:numRef>
              <c:f>Calcs!$X$16:$X$19</c:f>
              <c:numCache>
                <c:formatCode>General</c:formatCode>
                <c:ptCount val="4"/>
                <c:pt idx="0">
                  <c:v>10.5</c:v>
                </c:pt>
                <c:pt idx="1">
                  <c:v>-10.5</c:v>
                </c:pt>
                <c:pt idx="2">
                  <c:v>0</c:v>
                </c:pt>
                <c:pt idx="3">
                  <c:v>0</c:v>
                </c:pt>
              </c:numCache>
            </c:numRef>
          </c:yVal>
          <c:smooth val="0"/>
        </c:ser>
        <c:dLbls>
          <c:showLegendKey val="0"/>
          <c:showVal val="0"/>
          <c:showCatName val="0"/>
          <c:showSerName val="0"/>
          <c:showPercent val="0"/>
          <c:showBubbleSize val="0"/>
        </c:dLbls>
        <c:axId val="66708608"/>
        <c:axId val="66710144"/>
      </c:scatterChart>
      <c:valAx>
        <c:axId val="66708608"/>
        <c:scaling>
          <c:orientation val="minMax"/>
          <c:max val="40"/>
          <c:min val="-40"/>
        </c:scaling>
        <c:delete val="0"/>
        <c:axPos val="b"/>
        <c:majorGridlines>
          <c:spPr>
            <a:ln w="9525" cap="flat" cmpd="sng" algn="ctr">
              <a:noFill/>
              <a:round/>
            </a:ln>
            <a:effectLst/>
          </c:spPr>
        </c:majorGridlines>
        <c:numFmt formatCode="0.0" sourceLinked="1"/>
        <c:majorTickMark val="cross"/>
        <c:minorTickMark val="cross"/>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710144"/>
        <c:crosses val="autoZero"/>
        <c:crossBetween val="midCat"/>
        <c:minorUnit val="5"/>
      </c:valAx>
      <c:valAx>
        <c:axId val="66710144"/>
        <c:scaling>
          <c:orientation val="minMax"/>
          <c:max val="40"/>
          <c:min val="-40"/>
        </c:scaling>
        <c:delete val="0"/>
        <c:axPos val="l"/>
        <c:majorGridlines>
          <c:spPr>
            <a:ln w="9525" cap="flat" cmpd="sng" algn="ctr">
              <a:noFill/>
              <a:round/>
            </a:ln>
            <a:effectLst/>
          </c:spPr>
        </c:majorGridlines>
        <c:numFmt formatCode="0.0" sourceLinked="1"/>
        <c:majorTickMark val="cross"/>
        <c:minorTickMark val="cross"/>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708608"/>
        <c:crosses val="autoZero"/>
        <c:crossBetween val="midCat"/>
        <c:majorUnit val="10"/>
        <c:minorUnit val="5"/>
      </c:valAx>
      <c:spPr>
        <a:noFill/>
        <a:ln>
          <a:noFill/>
        </a:ln>
        <a:effectLst/>
      </c:spPr>
    </c:plotArea>
    <c:legend>
      <c:legendPos val="r"/>
      <c:layout>
        <c:manualLayout>
          <c:xMode val="edge"/>
          <c:yMode val="edge"/>
          <c:x val="0.72754067382282295"/>
          <c:y val="1.7748510322437905E-2"/>
          <c:w val="0.27245933577270509"/>
          <c:h val="0.1198624161073825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fmlaLink="Settings!A17" lockText="1" noThreeD="1"/>
</file>

<file path=xl/ctrlProps/ctrlProp2.xml><?xml version="1.0" encoding="utf-8"?>
<formControlPr xmlns="http://schemas.microsoft.com/office/spreadsheetml/2009/9/main" objectType="CheckBox" fmlaLink="Settings!A14" lockText="1" noThreeD="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592930</xdr:colOff>
      <xdr:row>2</xdr:row>
      <xdr:rowOff>9525</xdr:rowOff>
    </xdr:from>
    <xdr:to>
      <xdr:col>13</xdr:col>
      <xdr:colOff>23812</xdr:colOff>
      <xdr:row>30</xdr:row>
      <xdr:rowOff>39525</xdr:rowOff>
    </xdr:to>
    <xdr:graphicFrame macro="">
      <xdr:nvGraphicFramePr>
        <xdr:cNvPr id="2" name="Chart 1">
          <a:extLst>
            <a:ext uri="{FF2B5EF4-FFF2-40B4-BE49-F238E27FC236}">
              <a16:creationId xmlns:a16="http://schemas.microsoft.com/office/drawing/2014/main" xmlns=""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581025</xdr:colOff>
          <xdr:row>17</xdr:row>
          <xdr:rowOff>38100</xdr:rowOff>
        </xdr:from>
        <xdr:to>
          <xdr:col>3</xdr:col>
          <xdr:colOff>590550</xdr:colOff>
          <xdr:row>19</xdr:row>
          <xdr:rowOff>133350</xdr:rowOff>
        </xdr:to>
        <xdr:sp macro="" textlink="">
          <xdr:nvSpPr>
            <xdr:cNvPr id="1025" name="Check Box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AU" sz="800" b="0" i="0" u="none" strike="noStrike" baseline="0">
                  <a:solidFill>
                    <a:srgbClr val="000000"/>
                  </a:solidFill>
                  <a:latin typeface="Segoe UI"/>
                  <a:ea typeface="Segoe UI"/>
                  <a:cs typeface="Segoe UI"/>
                </a:rPr>
                <a:t> OVERRIDE CALCULATED POSITIONS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xdr:row>
          <xdr:rowOff>104775</xdr:rowOff>
        </xdr:from>
        <xdr:to>
          <xdr:col>6</xdr:col>
          <xdr:colOff>247650</xdr:colOff>
          <xdr:row>3</xdr:row>
          <xdr:rowOff>114300</xdr:rowOff>
        </xdr:to>
        <xdr:sp macro="" textlink="">
          <xdr:nvSpPr>
            <xdr:cNvPr id="1026" name="Check Box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HIDE JAW LABELS</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2</xdr:col>
      <xdr:colOff>640557</xdr:colOff>
      <xdr:row>25</xdr:row>
      <xdr:rowOff>2382</xdr:rowOff>
    </xdr:from>
    <xdr:ext cx="1602490" cy="172227"/>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xmlns="" id="{00000000-0008-0000-0100-000002000000}"/>
                </a:ext>
              </a:extLst>
            </xdr:cNvPr>
            <xdr:cNvSpPr txBox="1"/>
          </xdr:nvSpPr>
          <xdr:spPr>
            <a:xfrm>
              <a:off x="1935957" y="4526757"/>
              <a:ext cx="1602490"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p>
                      <m:sSupPr>
                        <m:ctrlPr>
                          <a:rPr lang="en-AU" sz="1100" b="0" i="1">
                            <a:latin typeface="Cambria Math"/>
                          </a:rPr>
                        </m:ctrlPr>
                      </m:sSupPr>
                      <m:e>
                        <m:r>
                          <a:rPr lang="en-AU" sz="1100" b="0" i="1">
                            <a:latin typeface="Cambria Math" panose="02040503050406030204" pitchFamily="18" charset="0"/>
                          </a:rPr>
                          <m:t>𝑥</m:t>
                        </m:r>
                      </m:e>
                      <m:sup>
                        <m:r>
                          <a:rPr lang="en-AU" sz="1100" b="0" i="1">
                            <a:latin typeface="Cambria Math" panose="02040503050406030204" pitchFamily="18" charset="0"/>
                          </a:rPr>
                          <m:t>′</m:t>
                        </m:r>
                      </m:sup>
                    </m:sSup>
                    <m:r>
                      <a:rPr lang="en-AU" sz="1100" b="0" i="1">
                        <a:latin typeface="Cambria Math" panose="02040503050406030204" pitchFamily="18" charset="0"/>
                      </a:rPr>
                      <m:t>=</m:t>
                    </m:r>
                    <m:r>
                      <a:rPr lang="en-AU" sz="1100" b="0" i="1">
                        <a:latin typeface="Cambria Math" panose="02040503050406030204" pitchFamily="18" charset="0"/>
                      </a:rPr>
                      <m:t>𝑥𝑐𝑜𝑠</m:t>
                    </m:r>
                    <m:sSub>
                      <m:sSubPr>
                        <m:ctrlPr>
                          <a:rPr lang="en-AU" sz="1100" b="0" i="1">
                            <a:latin typeface="Cambria Math"/>
                          </a:rPr>
                        </m:ctrlPr>
                      </m:sSubPr>
                      <m:e>
                        <m:r>
                          <a:rPr lang="en-AU" sz="1100" b="0" i="1">
                            <a:latin typeface="Cambria Math" panose="02040503050406030204" pitchFamily="18" charset="0"/>
                          </a:rPr>
                          <m:t>𝜃</m:t>
                        </m:r>
                      </m:e>
                      <m:sub>
                        <m:r>
                          <a:rPr lang="en-AU" sz="1100" b="0" i="1">
                            <a:latin typeface="Cambria Math" panose="02040503050406030204" pitchFamily="18" charset="0"/>
                          </a:rPr>
                          <m:t>𝑐𝑜𝑙𝑙</m:t>
                        </m:r>
                      </m:sub>
                    </m:sSub>
                    <m:r>
                      <a:rPr lang="en-AU" sz="1100" b="0" i="1">
                        <a:latin typeface="Cambria Math" panose="02040503050406030204" pitchFamily="18" charset="0"/>
                      </a:rPr>
                      <m:t>−</m:t>
                    </m:r>
                    <m:r>
                      <a:rPr lang="en-AU" sz="1100" b="0" i="1">
                        <a:latin typeface="Cambria Math" panose="02040503050406030204" pitchFamily="18" charset="0"/>
                      </a:rPr>
                      <m:t>𝑦𝑠𝑖𝑛</m:t>
                    </m:r>
                    <m:sSub>
                      <m:sSubPr>
                        <m:ctrlPr>
                          <a:rPr lang="en-AU" sz="1100" b="0" i="1">
                            <a:latin typeface="Cambria Math"/>
                          </a:rPr>
                        </m:ctrlPr>
                      </m:sSubPr>
                      <m:e>
                        <m:r>
                          <a:rPr lang="en-AU" sz="1100" b="0" i="1">
                            <a:latin typeface="Cambria Math" panose="02040503050406030204" pitchFamily="18" charset="0"/>
                          </a:rPr>
                          <m:t>𝜃</m:t>
                        </m:r>
                      </m:e>
                      <m:sub>
                        <m:r>
                          <a:rPr lang="en-AU" sz="1100" b="0" i="1">
                            <a:latin typeface="Cambria Math" panose="02040503050406030204" pitchFamily="18" charset="0"/>
                          </a:rPr>
                          <m:t>𝑐𝑜𝑙𝑙</m:t>
                        </m:r>
                      </m:sub>
                    </m:sSub>
                  </m:oMath>
                </m:oMathPara>
              </a14:m>
              <a:endParaRPr lang="en-AU" sz="1100"/>
            </a:p>
          </xdr:txBody>
        </xdr:sp>
      </mc:Choice>
      <mc:Fallback xmlns="">
        <xdr:sp macro="" textlink="">
          <xdr:nvSpPr>
            <xdr:cNvPr id="2" name="TextBox 1">
              <a:extLst>
                <a:ext uri="{FF2B5EF4-FFF2-40B4-BE49-F238E27FC236}">
                  <a16:creationId xmlns:a16="http://schemas.microsoft.com/office/drawing/2014/main" id="{B5B735E4-9A0F-42AA-A61A-4AB51D290F2D}"/>
                </a:ext>
              </a:extLst>
            </xdr:cNvPr>
            <xdr:cNvSpPr txBox="1"/>
          </xdr:nvSpPr>
          <xdr:spPr>
            <a:xfrm>
              <a:off x="1935957" y="4526757"/>
              <a:ext cx="1602490"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AU" sz="1100" b="0" i="0">
                  <a:latin typeface="Cambria Math" panose="02040503050406030204" pitchFamily="18" charset="0"/>
                </a:rPr>
                <a:t>𝑥^′=𝑥𝑐𝑜𝑠𝜃_𝑐𝑜𝑙𝑙−𝑦𝑠𝑖𝑛𝜃_𝑐𝑜𝑙𝑙</a:t>
              </a:r>
              <a:endParaRPr lang="en-AU" sz="1100"/>
            </a:p>
          </xdr:txBody>
        </xdr:sp>
      </mc:Fallback>
    </mc:AlternateContent>
    <xdr:clientData/>
  </xdr:oneCellAnchor>
  <xdr:oneCellAnchor>
    <xdr:from>
      <xdr:col>2</xdr:col>
      <xdr:colOff>645319</xdr:colOff>
      <xdr:row>26</xdr:row>
      <xdr:rowOff>178593</xdr:rowOff>
    </xdr:from>
    <xdr:ext cx="1605504" cy="172227"/>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xmlns="" id="{00000000-0008-0000-0100-000003000000}"/>
                </a:ext>
              </a:extLst>
            </xdr:cNvPr>
            <xdr:cNvSpPr txBox="1"/>
          </xdr:nvSpPr>
          <xdr:spPr>
            <a:xfrm>
              <a:off x="1940719" y="4883943"/>
              <a:ext cx="1605504"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p>
                      <m:sSupPr>
                        <m:ctrlPr>
                          <a:rPr lang="en-AU" sz="1100" b="0" i="1">
                            <a:latin typeface="Cambria Math"/>
                          </a:rPr>
                        </m:ctrlPr>
                      </m:sSupPr>
                      <m:e>
                        <m:r>
                          <a:rPr lang="en-AU" sz="1100" b="0" i="1">
                            <a:latin typeface="Cambria Math" panose="02040503050406030204" pitchFamily="18" charset="0"/>
                          </a:rPr>
                          <m:t>𝑦</m:t>
                        </m:r>
                      </m:e>
                      <m:sup>
                        <m:r>
                          <a:rPr lang="en-AU" sz="1100" b="0" i="1">
                            <a:latin typeface="Cambria Math" panose="02040503050406030204" pitchFamily="18" charset="0"/>
                          </a:rPr>
                          <m:t>′</m:t>
                        </m:r>
                      </m:sup>
                    </m:sSup>
                    <m:r>
                      <a:rPr lang="en-AU" sz="1100" b="0" i="1">
                        <a:latin typeface="Cambria Math" panose="02040503050406030204" pitchFamily="18" charset="0"/>
                      </a:rPr>
                      <m:t>=</m:t>
                    </m:r>
                    <m:r>
                      <a:rPr lang="en-AU" sz="1100" b="0" i="1">
                        <a:latin typeface="Cambria Math" panose="02040503050406030204" pitchFamily="18" charset="0"/>
                      </a:rPr>
                      <m:t>𝑥𝑠𝑖𝑛</m:t>
                    </m:r>
                    <m:sSub>
                      <m:sSubPr>
                        <m:ctrlPr>
                          <a:rPr lang="en-AU" sz="1100" b="0" i="1">
                            <a:latin typeface="Cambria Math"/>
                          </a:rPr>
                        </m:ctrlPr>
                      </m:sSubPr>
                      <m:e>
                        <m:r>
                          <a:rPr lang="en-AU" sz="1100" b="0" i="1">
                            <a:latin typeface="Cambria Math" panose="02040503050406030204" pitchFamily="18" charset="0"/>
                          </a:rPr>
                          <m:t>𝜃</m:t>
                        </m:r>
                      </m:e>
                      <m:sub>
                        <m:r>
                          <a:rPr lang="en-AU" sz="1100" b="0" i="1">
                            <a:latin typeface="Cambria Math" panose="02040503050406030204" pitchFamily="18" charset="0"/>
                          </a:rPr>
                          <m:t>𝑐𝑜𝑙𝑙</m:t>
                        </m:r>
                      </m:sub>
                    </m:sSub>
                    <m:r>
                      <a:rPr lang="en-AU" sz="1100" b="0" i="1">
                        <a:latin typeface="Cambria Math" panose="02040503050406030204" pitchFamily="18" charset="0"/>
                      </a:rPr>
                      <m:t>+</m:t>
                    </m:r>
                    <m:r>
                      <a:rPr lang="en-AU" sz="1100" b="0" i="1">
                        <a:latin typeface="Cambria Math" panose="02040503050406030204" pitchFamily="18" charset="0"/>
                      </a:rPr>
                      <m:t>𝑦𝑐𝑜𝑠</m:t>
                    </m:r>
                    <m:sSub>
                      <m:sSubPr>
                        <m:ctrlPr>
                          <a:rPr lang="en-AU" sz="1100" b="0" i="1">
                            <a:latin typeface="Cambria Math"/>
                          </a:rPr>
                        </m:ctrlPr>
                      </m:sSubPr>
                      <m:e>
                        <m:r>
                          <a:rPr lang="en-AU" sz="1100" b="0" i="1">
                            <a:latin typeface="Cambria Math" panose="02040503050406030204" pitchFamily="18" charset="0"/>
                          </a:rPr>
                          <m:t>𝜃</m:t>
                        </m:r>
                      </m:e>
                      <m:sub>
                        <m:r>
                          <a:rPr lang="en-AU" sz="1100" b="0" i="1">
                            <a:latin typeface="Cambria Math" panose="02040503050406030204" pitchFamily="18" charset="0"/>
                          </a:rPr>
                          <m:t>𝑐𝑜𝑙𝑙</m:t>
                        </m:r>
                      </m:sub>
                    </m:sSub>
                  </m:oMath>
                </m:oMathPara>
              </a14:m>
              <a:endParaRPr lang="en-AU" sz="1100"/>
            </a:p>
          </xdr:txBody>
        </xdr:sp>
      </mc:Choice>
      <mc:Fallback xmlns="">
        <xdr:sp macro="" textlink="">
          <xdr:nvSpPr>
            <xdr:cNvPr id="3" name="TextBox 2">
              <a:extLst>
                <a:ext uri="{FF2B5EF4-FFF2-40B4-BE49-F238E27FC236}">
                  <a16:creationId xmlns:a16="http://schemas.microsoft.com/office/drawing/2014/main" id="{CF43D397-AFFB-4B50-9AB5-DAF2823E3C38}"/>
                </a:ext>
              </a:extLst>
            </xdr:cNvPr>
            <xdr:cNvSpPr txBox="1"/>
          </xdr:nvSpPr>
          <xdr:spPr>
            <a:xfrm>
              <a:off x="1940719" y="4883943"/>
              <a:ext cx="1605504"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AU" sz="1100" b="0" i="0">
                  <a:latin typeface="Cambria Math" panose="02040503050406030204" pitchFamily="18" charset="0"/>
                </a:rPr>
                <a:t>𝑦^′=𝑥𝑠𝑖𝑛𝜃_𝑐𝑜𝑙𝑙+𝑦𝑐𝑜𝑠𝜃_𝑐𝑜𝑙𝑙</a:t>
              </a:r>
              <a:endParaRPr lang="en-AU" sz="1100"/>
            </a:p>
          </xdr:txBody>
        </xdr:sp>
      </mc:Fallback>
    </mc:AlternateContent>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8"/>
  <sheetViews>
    <sheetView tabSelected="1" workbookViewId="0">
      <selection activeCell="C5" sqref="C5"/>
    </sheetView>
  </sheetViews>
  <sheetFormatPr defaultColWidth="9" defaultRowHeight="15" customHeight="1" x14ac:dyDescent="0.25"/>
  <cols>
    <col min="1" max="1" width="9" style="4"/>
    <col min="2" max="2" width="12.140625" style="4" customWidth="1"/>
    <col min="3" max="3" width="13" style="4" customWidth="1"/>
    <col min="4" max="11" width="9" style="4"/>
    <col min="12" max="12" width="11.5703125" style="4" bestFit="1" customWidth="1"/>
    <col min="13" max="16384" width="9" style="4"/>
  </cols>
  <sheetData>
    <row r="1" spans="1:21" ht="26.25" customHeight="1" x14ac:dyDescent="0.25">
      <c r="A1" s="46" t="s">
        <v>47</v>
      </c>
      <c r="B1" s="46"/>
      <c r="C1" s="46"/>
      <c r="D1" s="46"/>
      <c r="E1" s="46"/>
      <c r="F1" s="46"/>
      <c r="G1" s="46"/>
      <c r="H1" s="46"/>
      <c r="I1" s="46"/>
      <c r="J1" s="46"/>
      <c r="K1" s="46"/>
      <c r="L1" s="46"/>
      <c r="M1" s="46"/>
      <c r="N1" s="46"/>
      <c r="O1" s="46"/>
      <c r="P1" s="9"/>
      <c r="Q1" s="9"/>
      <c r="R1" s="9"/>
      <c r="S1" s="9"/>
      <c r="T1" s="9"/>
      <c r="U1" s="9"/>
    </row>
    <row r="3" spans="1:21" ht="15" customHeight="1" thickBot="1" x14ac:dyDescent="0.3"/>
    <row r="4" spans="1:21" ht="15" customHeight="1" thickBot="1" x14ac:dyDescent="0.3">
      <c r="B4" s="47" t="s">
        <v>21</v>
      </c>
      <c r="C4" s="48"/>
    </row>
    <row r="5" spans="1:21" ht="15" customHeight="1" x14ac:dyDescent="0.25">
      <c r="B5" s="39" t="s">
        <v>0</v>
      </c>
      <c r="C5" s="33">
        <v>5</v>
      </c>
    </row>
    <row r="6" spans="1:21" ht="15" customHeight="1" x14ac:dyDescent="0.25">
      <c r="B6" s="5" t="s">
        <v>1</v>
      </c>
      <c r="C6" s="10">
        <v>5</v>
      </c>
    </row>
    <row r="7" spans="1:21" ht="15" customHeight="1" x14ac:dyDescent="0.25">
      <c r="B7" s="41" t="s">
        <v>2</v>
      </c>
      <c r="C7" s="34">
        <v>5</v>
      </c>
    </row>
    <row r="8" spans="1:21" ht="15" customHeight="1" x14ac:dyDescent="0.25">
      <c r="B8" s="5" t="s">
        <v>3</v>
      </c>
      <c r="C8" s="10">
        <v>5</v>
      </c>
    </row>
    <row r="9" spans="1:21" ht="15" customHeight="1" x14ac:dyDescent="0.25">
      <c r="B9" s="40" t="s">
        <v>4</v>
      </c>
      <c r="C9" s="45">
        <v>0</v>
      </c>
    </row>
    <row r="10" spans="1:21" ht="15" customHeight="1" thickBot="1" x14ac:dyDescent="0.3">
      <c r="B10" s="37" t="s">
        <v>7</v>
      </c>
      <c r="C10" s="35">
        <v>50</v>
      </c>
    </row>
    <row r="12" spans="1:21" ht="15" customHeight="1" thickBot="1" x14ac:dyDescent="0.3"/>
    <row r="13" spans="1:21" ht="15" customHeight="1" thickBot="1" x14ac:dyDescent="0.3">
      <c r="B13" s="47" t="s">
        <v>45</v>
      </c>
      <c r="C13" s="48"/>
    </row>
    <row r="14" spans="1:21" ht="15" customHeight="1" x14ac:dyDescent="0.25">
      <c r="B14" s="6" t="s">
        <v>10</v>
      </c>
      <c r="C14" s="36">
        <f>IF(Calcs!F48&lt;=0,-Calcs!F48,1000-Calcs!F48)</f>
        <v>0</v>
      </c>
    </row>
    <row r="15" spans="1:21" ht="15" customHeight="1" x14ac:dyDescent="0.25">
      <c r="B15" s="42" t="s">
        <v>14</v>
      </c>
      <c r="C15" s="30">
        <f>IF(Calcs!B45&gt;=0,Calcs!B45,1000+Calcs!B45)</f>
        <v>0</v>
      </c>
    </row>
    <row r="16" spans="1:21" ht="15" customHeight="1" thickBot="1" x14ac:dyDescent="0.3">
      <c r="B16" s="8" t="s">
        <v>17</v>
      </c>
      <c r="C16" s="37" t="str">
        <f>IF(AND(Calcs!B48=1,Calcs!B49=1),"YES","NO")</f>
        <v>YES</v>
      </c>
    </row>
    <row r="21" spans="2:3" ht="15" customHeight="1" thickBot="1" x14ac:dyDescent="0.5"/>
    <row r="22" spans="2:3" ht="15" customHeight="1" thickBot="1" x14ac:dyDescent="0.3">
      <c r="B22" s="47" t="s">
        <v>46</v>
      </c>
      <c r="C22" s="48"/>
    </row>
    <row r="23" spans="2:3" ht="15" customHeight="1" x14ac:dyDescent="0.25">
      <c r="B23" s="43" t="s">
        <v>10</v>
      </c>
      <c r="C23" s="38">
        <v>0</v>
      </c>
    </row>
    <row r="24" spans="2:3" ht="15" customHeight="1" x14ac:dyDescent="0.25">
      <c r="B24" s="7" t="s">
        <v>14</v>
      </c>
      <c r="C24" s="31">
        <v>0</v>
      </c>
    </row>
    <row r="25" spans="2:3" ht="15" customHeight="1" thickBot="1" x14ac:dyDescent="0.3">
      <c r="B25" s="44" t="s">
        <v>17</v>
      </c>
      <c r="C25" s="37" t="str">
        <f>IF(Settings!A17=FALSE,"N/A",IF(AND(Calcs!B56=1,Calcs!B57=1),"YES","NO"))</f>
        <v>N/A</v>
      </c>
    </row>
    <row r="37" spans="1:16" ht="15" customHeight="1" x14ac:dyDescent="0.25">
      <c r="A37" s="4" t="s">
        <v>83</v>
      </c>
    </row>
    <row r="38" spans="1:16" ht="63.75" customHeight="1" x14ac:dyDescent="0.25">
      <c r="A38" s="50" t="s">
        <v>82</v>
      </c>
      <c r="B38" s="50"/>
      <c r="C38" s="50"/>
      <c r="D38" s="50"/>
      <c r="E38" s="50"/>
      <c r="F38" s="50"/>
      <c r="G38" s="50"/>
      <c r="H38" s="50"/>
      <c r="I38" s="50"/>
      <c r="J38" s="50"/>
      <c r="K38" s="50"/>
      <c r="L38" s="50"/>
      <c r="M38" s="50"/>
      <c r="N38" s="50"/>
      <c r="O38" s="50"/>
      <c r="P38" s="50"/>
    </row>
  </sheetData>
  <sheetProtection sheet="1" objects="1" scenarios="1" selectLockedCells="1"/>
  <mergeCells count="5">
    <mergeCell ref="A1:O1"/>
    <mergeCell ref="B4:C4"/>
    <mergeCell ref="B13:C13"/>
    <mergeCell ref="B22:C22"/>
    <mergeCell ref="A38:P38"/>
  </mergeCells>
  <conditionalFormatting sqref="C16">
    <cfRule type="cellIs" dxfId="3" priority="3" operator="equal">
      <formula>"NO"</formula>
    </cfRule>
    <cfRule type="cellIs" dxfId="2" priority="4" operator="equal">
      <formula>"YES"</formula>
    </cfRule>
  </conditionalFormatting>
  <conditionalFormatting sqref="C25">
    <cfRule type="cellIs" dxfId="1" priority="1" operator="equal">
      <formula>"NO"</formula>
    </cfRule>
    <cfRule type="cellIs" dxfId="0" priority="2" operator="equal">
      <formula>"YES"</formula>
    </cfRule>
  </conditionalFormatting>
  <dataValidations count="1">
    <dataValidation type="decimal" operator="greaterThan" allowBlank="1" showInputMessage="1" showErrorMessage="1" sqref="C10">
      <formula1>-2.5</formula1>
    </dataValidation>
  </dataValidations>
  <pageMargins left="0.7" right="0.7" top="0.75" bottom="0.75" header="0.3" footer="0.3"/>
  <pageSetup paperSize="9" orientation="portrait" verticalDpi="598"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581025</xdr:colOff>
                    <xdr:row>17</xdr:row>
                    <xdr:rowOff>38100</xdr:rowOff>
                  </from>
                  <to>
                    <xdr:col>3</xdr:col>
                    <xdr:colOff>590550</xdr:colOff>
                    <xdr:row>19</xdr:row>
                    <xdr:rowOff>133350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4</xdr:col>
                    <xdr:colOff>28575</xdr:colOff>
                    <xdr:row>2</xdr:row>
                    <xdr:rowOff>104775</xdr:rowOff>
                  </from>
                  <to>
                    <xdr:col>6</xdr:col>
                    <xdr:colOff>247650</xdr:colOff>
                    <xdr:row>3</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7"/>
  <sheetViews>
    <sheetView topLeftCell="A10" zoomScaleNormal="100" workbookViewId="0">
      <selection activeCell="M21" sqref="M21"/>
    </sheetView>
  </sheetViews>
  <sheetFormatPr defaultRowHeight="15" customHeight="1" x14ac:dyDescent="0.25"/>
  <cols>
    <col min="10" max="10" width="9.140625" customWidth="1"/>
    <col min="11" max="11" width="15.140625" customWidth="1"/>
    <col min="12" max="12" width="15.42578125" customWidth="1"/>
  </cols>
  <sheetData>
    <row r="1" spans="1:25" ht="15" customHeight="1" x14ac:dyDescent="0.45">
      <c r="A1" s="1"/>
    </row>
    <row r="2" spans="1:25" ht="15" customHeight="1" x14ac:dyDescent="0.45">
      <c r="A2" t="s">
        <v>40</v>
      </c>
      <c r="I2" s="22" t="s">
        <v>32</v>
      </c>
      <c r="J2" s="13"/>
      <c r="K2" s="13"/>
      <c r="L2" s="14"/>
      <c r="R2" s="12" t="s">
        <v>48</v>
      </c>
      <c r="S2" s="13"/>
      <c r="T2" s="13"/>
      <c r="U2" s="13"/>
      <c r="V2" s="13"/>
      <c r="W2" s="13"/>
      <c r="X2" s="13"/>
      <c r="Y2" s="14"/>
    </row>
    <row r="3" spans="1:25" ht="15" customHeight="1" x14ac:dyDescent="0.45">
      <c r="A3" t="s">
        <v>26</v>
      </c>
      <c r="B3">
        <f>-Main!C5</f>
        <v>-5</v>
      </c>
      <c r="I3" s="15" t="s">
        <v>8</v>
      </c>
      <c r="J3" s="16" t="s">
        <v>9</v>
      </c>
      <c r="K3" s="16"/>
      <c r="L3" s="17"/>
      <c r="R3" s="15" t="s">
        <v>5</v>
      </c>
      <c r="S3" s="16">
        <f>COS(RADIANS(Main!C9))</f>
        <v>1</v>
      </c>
      <c r="T3" s="16" t="s">
        <v>6</v>
      </c>
      <c r="U3" s="16">
        <f>SIN(RADIANS(Main!C9))</f>
        <v>0</v>
      </c>
      <c r="V3" s="16"/>
      <c r="W3" s="16"/>
      <c r="X3" s="16"/>
      <c r="Y3" s="17"/>
    </row>
    <row r="4" spans="1:25" ht="15" customHeight="1" x14ac:dyDescent="0.45">
      <c r="A4" t="s">
        <v>27</v>
      </c>
      <c r="B4">
        <f>Main!C6</f>
        <v>5</v>
      </c>
      <c r="I4" s="15">
        <f>-Settings!A5/2</f>
        <v>-20</v>
      </c>
      <c r="J4" s="16">
        <f>-Settings!B5/2</f>
        <v>-15</v>
      </c>
      <c r="K4" s="16"/>
      <c r="L4" s="17"/>
      <c r="R4" s="15"/>
      <c r="S4" s="16"/>
      <c r="T4" s="16"/>
      <c r="U4" s="16"/>
      <c r="V4" s="16"/>
      <c r="W4" s="16"/>
      <c r="X4" s="16"/>
      <c r="Y4" s="17"/>
    </row>
    <row r="5" spans="1:25" ht="15" customHeight="1" x14ac:dyDescent="0.45">
      <c r="A5" t="s">
        <v>28</v>
      </c>
      <c r="B5">
        <f>-Main!C7</f>
        <v>-5</v>
      </c>
      <c r="I5" s="15">
        <f>Settings!A5/2</f>
        <v>20</v>
      </c>
      <c r="J5" s="16">
        <f>-Settings!B5/2</f>
        <v>-15</v>
      </c>
      <c r="K5" s="16"/>
      <c r="L5" s="17"/>
      <c r="R5" s="15" t="s">
        <v>34</v>
      </c>
      <c r="S5" s="16"/>
      <c r="T5" s="16"/>
      <c r="U5" s="16"/>
      <c r="V5" s="16"/>
      <c r="W5" s="16"/>
      <c r="X5" s="16"/>
      <c r="Y5" s="17"/>
    </row>
    <row r="6" spans="1:25" ht="15" customHeight="1" x14ac:dyDescent="0.45">
      <c r="A6" t="s">
        <v>29</v>
      </c>
      <c r="B6">
        <f>Main!C8</f>
        <v>5</v>
      </c>
      <c r="I6" s="15">
        <f>Settings!A5/2</f>
        <v>20</v>
      </c>
      <c r="J6" s="16">
        <f>Settings!B5/2</f>
        <v>15</v>
      </c>
      <c r="K6" s="16"/>
      <c r="L6" s="17"/>
      <c r="R6" s="18" t="s">
        <v>20</v>
      </c>
      <c r="S6" s="19">
        <f>(VRT+100)/100</f>
        <v>1.5</v>
      </c>
      <c r="T6" s="20"/>
      <c r="U6" s="20"/>
      <c r="V6" s="20"/>
      <c r="W6" s="20"/>
      <c r="X6" s="20"/>
      <c r="Y6" s="21"/>
    </row>
    <row r="7" spans="1:25" ht="15" customHeight="1" x14ac:dyDescent="0.45">
      <c r="I7" s="15">
        <f>-Settings!A5/2</f>
        <v>-20</v>
      </c>
      <c r="J7" s="16">
        <f>Settings!B5/2</f>
        <v>15</v>
      </c>
      <c r="K7" s="16"/>
      <c r="L7" s="17"/>
    </row>
    <row r="8" spans="1:25" ht="15" customHeight="1" x14ac:dyDescent="0.45">
      <c r="A8" t="s">
        <v>30</v>
      </c>
      <c r="I8" s="23">
        <f>-Settings!A5/2</f>
        <v>-20</v>
      </c>
      <c r="J8" s="20">
        <f>-Settings!B5/2</f>
        <v>-15</v>
      </c>
      <c r="K8" s="20"/>
      <c r="L8" s="21"/>
    </row>
    <row r="9" spans="1:25" ht="15" customHeight="1" x14ac:dyDescent="0.45">
      <c r="A9" s="11" t="s">
        <v>8</v>
      </c>
      <c r="B9" s="11" t="s">
        <v>9</v>
      </c>
    </row>
    <row r="10" spans="1:25" ht="15" customHeight="1" x14ac:dyDescent="0.45">
      <c r="A10" s="11">
        <f>Calcs!B3</f>
        <v>-5</v>
      </c>
      <c r="B10" s="11">
        <f>Calcs!B5</f>
        <v>-5</v>
      </c>
    </row>
    <row r="11" spans="1:25" ht="15" customHeight="1" x14ac:dyDescent="0.45">
      <c r="A11" s="11">
        <f>Calcs!B4</f>
        <v>5</v>
      </c>
      <c r="B11" s="11">
        <f>Calcs!B5</f>
        <v>-5</v>
      </c>
    </row>
    <row r="12" spans="1:25" ht="15" customHeight="1" x14ac:dyDescent="0.45">
      <c r="A12" s="11">
        <f>Calcs!B4</f>
        <v>5</v>
      </c>
      <c r="B12" s="11">
        <f>Calcs!B6</f>
        <v>5</v>
      </c>
      <c r="F12" s="22" t="s">
        <v>23</v>
      </c>
      <c r="G12" s="13"/>
      <c r="H12" s="14"/>
      <c r="I12" s="22" t="s">
        <v>24</v>
      </c>
      <c r="J12" s="13"/>
      <c r="K12" s="14"/>
      <c r="M12" s="22" t="s">
        <v>37</v>
      </c>
      <c r="N12" s="13"/>
      <c r="O12" s="14"/>
    </row>
    <row r="13" spans="1:25" ht="15" customHeight="1" x14ac:dyDescent="0.45">
      <c r="A13" s="11">
        <f>Calcs!B3</f>
        <v>-5</v>
      </c>
      <c r="B13" s="11">
        <f>Calcs!B6</f>
        <v>5</v>
      </c>
      <c r="F13" s="15" t="s">
        <v>8</v>
      </c>
      <c r="G13" s="16" t="s">
        <v>9</v>
      </c>
      <c r="H13" s="17"/>
      <c r="I13" s="15" t="s">
        <v>8</v>
      </c>
      <c r="J13" s="16" t="s">
        <v>9</v>
      </c>
      <c r="K13" s="17"/>
      <c r="M13" s="15" t="s">
        <v>8</v>
      </c>
      <c r="N13" s="28" t="s">
        <v>9</v>
      </c>
      <c r="O13" s="17"/>
      <c r="W13" s="32" t="s">
        <v>70</v>
      </c>
      <c r="X13">
        <v>3</v>
      </c>
      <c r="Y13" t="s">
        <v>71</v>
      </c>
    </row>
    <row r="14" spans="1:25" ht="15" customHeight="1" x14ac:dyDescent="0.45">
      <c r="A14" s="11">
        <f>A10</f>
        <v>-5</v>
      </c>
      <c r="B14" s="11">
        <f>B10</f>
        <v>-5</v>
      </c>
      <c r="F14" s="24">
        <f>I4+$B$45</f>
        <v>-20</v>
      </c>
      <c r="G14" s="25">
        <f>J4+$B$44</f>
        <v>-15</v>
      </c>
      <c r="H14" s="17"/>
      <c r="I14" s="24">
        <f>I4+$F$49</f>
        <v>-20</v>
      </c>
      <c r="J14" s="25">
        <f>J4+$F$48</f>
        <v>-15</v>
      </c>
      <c r="K14" s="17"/>
      <c r="M14" s="15">
        <f>I4+$B$53</f>
        <v>-20</v>
      </c>
      <c r="N14" s="16">
        <f>J4+$B$52</f>
        <v>-15</v>
      </c>
      <c r="O14" s="17"/>
      <c r="Q14" t="s">
        <v>50</v>
      </c>
    </row>
    <row r="15" spans="1:25" ht="15" customHeight="1" x14ac:dyDescent="0.45">
      <c r="F15" s="24">
        <f>I5+$B$45</f>
        <v>20</v>
      </c>
      <c r="G15" s="25">
        <f>J5+$B$44</f>
        <v>-15</v>
      </c>
      <c r="H15" s="17"/>
      <c r="I15" s="24">
        <f>I5+$F$49</f>
        <v>20</v>
      </c>
      <c r="J15" s="25">
        <f>J5+$F$48</f>
        <v>-15</v>
      </c>
      <c r="K15" s="17"/>
      <c r="M15" s="15">
        <f>I5+$B$53</f>
        <v>20</v>
      </c>
      <c r="N15" s="16">
        <f>J5+$B$52</f>
        <v>-15</v>
      </c>
      <c r="O15" s="17"/>
      <c r="R15" t="s">
        <v>51</v>
      </c>
      <c r="S15" t="s">
        <v>52</v>
      </c>
      <c r="T15" t="s">
        <v>55</v>
      </c>
      <c r="U15" t="s">
        <v>53</v>
      </c>
      <c r="V15" t="s">
        <v>54</v>
      </c>
      <c r="W15" t="s">
        <v>8</v>
      </c>
      <c r="X15" t="s">
        <v>9</v>
      </c>
      <c r="Y15" t="s">
        <v>56</v>
      </c>
    </row>
    <row r="16" spans="1:25" ht="15" customHeight="1" x14ac:dyDescent="0.45">
      <c r="A16" t="s">
        <v>36</v>
      </c>
      <c r="F16" s="24">
        <f>I6+$B$45</f>
        <v>20</v>
      </c>
      <c r="G16" s="25">
        <f>J6+$B$44</f>
        <v>15</v>
      </c>
      <c r="H16" s="17"/>
      <c r="I16" s="24">
        <f>I6+$F$49</f>
        <v>20</v>
      </c>
      <c r="J16" s="25">
        <f>J6+$F$48</f>
        <v>15</v>
      </c>
      <c r="K16" s="17"/>
      <c r="M16" s="15">
        <f>I6+$B$53</f>
        <v>20</v>
      </c>
      <c r="N16" s="16">
        <f>J6+$B$52</f>
        <v>15</v>
      </c>
      <c r="O16" s="17"/>
      <c r="Q16" t="s">
        <v>3</v>
      </c>
      <c r="R16" s="3">
        <f>Dx-Ax</f>
        <v>0</v>
      </c>
      <c r="S16" s="3">
        <f>Dy-Ay</f>
        <v>15</v>
      </c>
      <c r="T16">
        <f>SQRT(R16*R16+S16*S16)</f>
        <v>15</v>
      </c>
      <c r="U16">
        <f>R16/T16</f>
        <v>0</v>
      </c>
      <c r="V16">
        <f>S16/T16</f>
        <v>1</v>
      </c>
      <c r="W16">
        <f>(Dx+Cx)/2+U16*offset_dist</f>
        <v>0</v>
      </c>
      <c r="X16">
        <f>(Dy+Cy)/2+V16*offset_dist</f>
        <v>10.5</v>
      </c>
      <c r="Y16" t="str">
        <f>IF(hide_jaw_labels,"",Q16)</f>
        <v>Y2</v>
      </c>
    </row>
    <row r="17" spans="1:25" ht="15" customHeight="1" x14ac:dyDescent="0.45">
      <c r="A17" s="11" t="s">
        <v>8</v>
      </c>
      <c r="B17" s="11" t="s">
        <v>9</v>
      </c>
      <c r="F17" s="24">
        <f>I7+$B$45</f>
        <v>-20</v>
      </c>
      <c r="G17" s="25">
        <f>J7+$B$44</f>
        <v>15</v>
      </c>
      <c r="H17" s="17"/>
      <c r="I17" s="24">
        <f>I7+$F$49</f>
        <v>-20</v>
      </c>
      <c r="J17" s="25">
        <f>J7+$F$48</f>
        <v>15</v>
      </c>
      <c r="K17" s="17"/>
      <c r="M17" s="15">
        <f>I7+$B$53</f>
        <v>-20</v>
      </c>
      <c r="N17" s="16">
        <f>J7+$B$52</f>
        <v>15</v>
      </c>
      <c r="O17" s="17"/>
      <c r="Q17" t="s">
        <v>2</v>
      </c>
      <c r="R17" s="3">
        <f>Ax-Dx</f>
        <v>0</v>
      </c>
      <c r="S17" s="3">
        <f>Ay-Dy</f>
        <v>-15</v>
      </c>
      <c r="T17">
        <f>SQRT(R17*R17+S17*S17)</f>
        <v>15</v>
      </c>
      <c r="U17">
        <f>R17/T17</f>
        <v>0</v>
      </c>
      <c r="V17">
        <f>S17/T17</f>
        <v>-1</v>
      </c>
      <c r="W17">
        <f>(Ax+Bx)/2+U17*offset_dist</f>
        <v>0</v>
      </c>
      <c r="X17">
        <f>(Ay+By)/2+V17*offset_dist</f>
        <v>-10.5</v>
      </c>
      <c r="Y17" t="str">
        <f>IF(hide_jaw_labels,"",Q17)</f>
        <v>Y1</v>
      </c>
    </row>
    <row r="18" spans="1:25" ht="15" customHeight="1" x14ac:dyDescent="0.45">
      <c r="A18" s="11">
        <f t="shared" ref="A18:B22" si="0">mag*A10</f>
        <v>-7.5</v>
      </c>
      <c r="B18" s="11">
        <f t="shared" si="0"/>
        <v>-7.5</v>
      </c>
      <c r="F18" s="26">
        <f>I8+$B$45</f>
        <v>-20</v>
      </c>
      <c r="G18" s="27">
        <f>J8+$B$44</f>
        <v>-15</v>
      </c>
      <c r="H18" s="21"/>
      <c r="I18" s="26">
        <f>I8+$F$49</f>
        <v>-20</v>
      </c>
      <c r="J18" s="27">
        <f>J8+$F$48</f>
        <v>-15</v>
      </c>
      <c r="K18" s="21"/>
      <c r="M18" s="15">
        <f>I8+$B$53</f>
        <v>-20</v>
      </c>
      <c r="N18" s="16">
        <f>J8+$B$52</f>
        <v>-15</v>
      </c>
      <c r="O18" s="21"/>
      <c r="Q18" t="s">
        <v>1</v>
      </c>
      <c r="R18" s="3">
        <f>Bx-Ax</f>
        <v>15</v>
      </c>
      <c r="S18" s="3">
        <f>By-Ay</f>
        <v>0</v>
      </c>
      <c r="T18">
        <f>SQRT(R18*R18+S18*S18)</f>
        <v>15</v>
      </c>
      <c r="U18">
        <f>R18/T18</f>
        <v>1</v>
      </c>
      <c r="V18">
        <f>S18/T18</f>
        <v>0</v>
      </c>
      <c r="W18">
        <f>(Cx+Bx)/2+U18*offset_dist</f>
        <v>10.5</v>
      </c>
      <c r="X18">
        <f>(Cy+By)/2+V18*offset_dist</f>
        <v>0</v>
      </c>
      <c r="Y18" t="str">
        <f>IF(hide_jaw_labels,"",Q18)</f>
        <v>X2</v>
      </c>
    </row>
    <row r="19" spans="1:25" ht="15" customHeight="1" x14ac:dyDescent="0.45">
      <c r="A19" s="11">
        <f t="shared" si="0"/>
        <v>7.5</v>
      </c>
      <c r="B19" s="11">
        <f t="shared" si="0"/>
        <v>-7.5</v>
      </c>
      <c r="Q19" t="s">
        <v>0</v>
      </c>
      <c r="R19">
        <f>Ax-Bx</f>
        <v>-15</v>
      </c>
      <c r="S19" s="3">
        <f>Ay-By</f>
        <v>0</v>
      </c>
      <c r="T19">
        <f>SQRT(R19*R19+S19*S19)</f>
        <v>15</v>
      </c>
      <c r="U19">
        <f>R19/T19</f>
        <v>-1</v>
      </c>
      <c r="V19">
        <f>S19/T19</f>
        <v>0</v>
      </c>
      <c r="W19">
        <f>(Dx+Ax)/2+U19*offset_dist</f>
        <v>-10.5</v>
      </c>
      <c r="X19">
        <f>(Dy+Ay)/2+V19*offset_dist</f>
        <v>0</v>
      </c>
      <c r="Y19" t="str">
        <f>IF(hide_jaw_labels,"",Q19)</f>
        <v>X1</v>
      </c>
    </row>
    <row r="20" spans="1:25" ht="15" customHeight="1" x14ac:dyDescent="0.45">
      <c r="A20" s="11">
        <f t="shared" si="0"/>
        <v>7.5</v>
      </c>
      <c r="B20" s="11">
        <f t="shared" si="0"/>
        <v>7.5</v>
      </c>
      <c r="I20" s="22" t="s">
        <v>39</v>
      </c>
      <c r="J20" s="13"/>
      <c r="K20" s="14"/>
    </row>
    <row r="21" spans="1:25" ht="15" customHeight="1" x14ac:dyDescent="0.45">
      <c r="A21" s="11">
        <f t="shared" si="0"/>
        <v>-7.5</v>
      </c>
      <c r="B21" s="11">
        <f t="shared" si="0"/>
        <v>7.5</v>
      </c>
      <c r="I21" s="15" t="s">
        <v>8</v>
      </c>
      <c r="J21" s="16" t="s">
        <v>9</v>
      </c>
      <c r="K21" s="17"/>
    </row>
    <row r="22" spans="1:25" ht="15" customHeight="1" x14ac:dyDescent="0.45">
      <c r="A22" s="11">
        <f t="shared" si="0"/>
        <v>-7.5</v>
      </c>
      <c r="B22" s="11">
        <f t="shared" si="0"/>
        <v>-7.5</v>
      </c>
      <c r="I22" s="24">
        <f>I4+IF(Main!$C$24&gt;900,Main!$C$24-1000,Main!$C$24)</f>
        <v>-20</v>
      </c>
      <c r="J22" s="25">
        <f>J4+IF(Main!$C$23&gt;900,1000-Main!$C$23,-Main!$C$23)</f>
        <v>-15</v>
      </c>
      <c r="K22" s="17"/>
    </row>
    <row r="23" spans="1:25" ht="15" customHeight="1" x14ac:dyDescent="0.45">
      <c r="I23" s="24">
        <f>I5+IF(Main!$C$24&gt;900,Main!$C$24-1000,Main!$C$24)</f>
        <v>20</v>
      </c>
      <c r="J23" s="25">
        <f>J5+IF(Main!$C$23&gt;900,1000-Main!$C$23,-Main!$C$23)</f>
        <v>-15</v>
      </c>
      <c r="K23" s="17"/>
    </row>
    <row r="24" spans="1:25" ht="15" customHeight="1" x14ac:dyDescent="0.45">
      <c r="A24" t="s">
        <v>35</v>
      </c>
      <c r="I24" s="24">
        <f>I6+IF(Main!$C$24&gt;900,Main!$C$24-1000,Main!$C$24)</f>
        <v>20</v>
      </c>
      <c r="J24" s="25">
        <f>J6+IF(Main!$C$23&gt;900,1000-Main!$C$23,-Main!$C$23)</f>
        <v>15</v>
      </c>
      <c r="K24" s="17"/>
    </row>
    <row r="25" spans="1:25" ht="15" customHeight="1" x14ac:dyDescent="0.45">
      <c r="B25" t="s">
        <v>8</v>
      </c>
      <c r="C25" t="s">
        <v>9</v>
      </c>
      <c r="I25" s="24">
        <f>I7+IF(Main!$C$24&gt;900,Main!$C$24-1000,Main!$C$24)</f>
        <v>-20</v>
      </c>
      <c r="J25" s="25">
        <f>J7+IF(Main!$C$23&gt;900,1000-Main!$C$23,-Main!$C$23)</f>
        <v>15</v>
      </c>
      <c r="K25" s="17"/>
    </row>
    <row r="26" spans="1:25" ht="15" customHeight="1" x14ac:dyDescent="0.45">
      <c r="A26" t="s">
        <v>65</v>
      </c>
      <c r="B26" s="3">
        <f>Calcs!$S$3*Calcs!A18-Calcs!B18*Calcs!$U$3</f>
        <v>-7.5</v>
      </c>
      <c r="C26" s="3">
        <f>Calcs!A18*Calcs!$U$3+Calcs!B18*Calcs!$S$3</f>
        <v>-7.5</v>
      </c>
      <c r="I26" s="24">
        <f>I8+IF(Main!$C$24&gt;900,Main!$C$24-1000,Main!$C$24)</f>
        <v>-20</v>
      </c>
      <c r="J26" s="25">
        <f>J8+IF(Main!$C$23&gt;900,1000-Main!$C$23,-Main!$C$23)</f>
        <v>-15</v>
      </c>
      <c r="K26" s="21"/>
    </row>
    <row r="27" spans="1:25" ht="15" customHeight="1" x14ac:dyDescent="0.45">
      <c r="A27" t="s">
        <v>66</v>
      </c>
      <c r="B27" s="3">
        <f>Calcs!$S$3*Calcs!A19-Calcs!B19*Calcs!$U$3</f>
        <v>7.5</v>
      </c>
      <c r="C27" s="3">
        <f>Calcs!A19*Calcs!$U$3+Calcs!B19*Calcs!$S$3</f>
        <v>-7.5</v>
      </c>
    </row>
    <row r="28" spans="1:25" ht="15" customHeight="1" x14ac:dyDescent="0.25">
      <c r="A28" t="s">
        <v>67</v>
      </c>
      <c r="B28" s="3">
        <f>Calcs!$S$3*Calcs!A20-Calcs!B20*Calcs!$U$3</f>
        <v>7.5</v>
      </c>
      <c r="C28" s="3">
        <f>Calcs!A20*Calcs!$U$3+Calcs!B20*Calcs!$S$3</f>
        <v>7.5</v>
      </c>
    </row>
    <row r="29" spans="1:25" ht="15" customHeight="1" x14ac:dyDescent="0.25">
      <c r="A29" t="s">
        <v>68</v>
      </c>
      <c r="B29" s="3">
        <f>Calcs!$S$3*Calcs!A21-Calcs!B21*Calcs!$U$3</f>
        <v>-7.5</v>
      </c>
      <c r="C29" s="3">
        <f>Calcs!A21*Calcs!$U$3+Calcs!B21*Calcs!$S$3</f>
        <v>7.5</v>
      </c>
      <c r="K29" t="s">
        <v>57</v>
      </c>
      <c r="L29" t="s">
        <v>58</v>
      </c>
    </row>
    <row r="30" spans="1:25" ht="15" customHeight="1" x14ac:dyDescent="0.25">
      <c r="B30" s="3">
        <f>Calcs!$S$3*Calcs!A22-Calcs!B22*Calcs!$U$3</f>
        <v>-7.5</v>
      </c>
      <c r="C30" s="3">
        <f>Calcs!A22*Calcs!$U$3+Calcs!B22*Calcs!$S$3</f>
        <v>-7.5</v>
      </c>
      <c r="K30" s="3">
        <f>B28-B29</f>
        <v>15</v>
      </c>
      <c r="L30" s="3">
        <f>C28-C29</f>
        <v>0</v>
      </c>
    </row>
    <row r="31" spans="1:25" ht="15" customHeight="1" x14ac:dyDescent="0.25">
      <c r="K31" t="s">
        <v>59</v>
      </c>
      <c r="L31" t="s">
        <v>60</v>
      </c>
    </row>
    <row r="32" spans="1:25" ht="15" customHeight="1" x14ac:dyDescent="0.25">
      <c r="A32" t="s">
        <v>41</v>
      </c>
      <c r="K32" s="3">
        <f>B27-B30</f>
        <v>15</v>
      </c>
      <c r="L32" s="3">
        <f>C27-C30</f>
        <v>0</v>
      </c>
    </row>
    <row r="33" spans="1:12" ht="15" customHeight="1" x14ac:dyDescent="0.25">
      <c r="A33" t="s">
        <v>11</v>
      </c>
      <c r="B33" s="3">
        <f>MIN(C26:C30)</f>
        <v>-7.5</v>
      </c>
      <c r="K33" t="s">
        <v>61</v>
      </c>
      <c r="L33" t="s">
        <v>62</v>
      </c>
    </row>
    <row r="34" spans="1:12" ht="15" customHeight="1" x14ac:dyDescent="0.25">
      <c r="A34" t="s">
        <v>15</v>
      </c>
      <c r="B34" s="3">
        <f>MAX(C26:C30)</f>
        <v>7.5</v>
      </c>
      <c r="K34" s="3">
        <f>B29-B26</f>
        <v>0</v>
      </c>
      <c r="L34" s="3">
        <f>C29-C26</f>
        <v>15</v>
      </c>
    </row>
    <row r="35" spans="1:12" ht="15" customHeight="1" x14ac:dyDescent="0.25">
      <c r="A35" t="s">
        <v>12</v>
      </c>
      <c r="B35" s="3">
        <f>MIN(B26:B30)</f>
        <v>-7.5</v>
      </c>
      <c r="K35" t="s">
        <v>63</v>
      </c>
      <c r="L35" t="s">
        <v>64</v>
      </c>
    </row>
    <row r="36" spans="1:12" ht="15" customHeight="1" x14ac:dyDescent="0.25">
      <c r="A36" t="s">
        <v>13</v>
      </c>
      <c r="B36" s="3">
        <f>MAX(B26:B30)</f>
        <v>7.5</v>
      </c>
      <c r="K36" s="3">
        <f>B28-B27</f>
        <v>0</v>
      </c>
      <c r="L36" s="3">
        <f>C28-C27</f>
        <v>15</v>
      </c>
    </row>
    <row r="38" spans="1:12" ht="15" customHeight="1" x14ac:dyDescent="0.25">
      <c r="A38" t="s">
        <v>31</v>
      </c>
    </row>
    <row r="39" spans="1:12" ht="15" customHeight="1" x14ac:dyDescent="0.25">
      <c r="A39" t="s">
        <v>10</v>
      </c>
      <c r="B39" s="2">
        <f>MIN(MAX(B33-J4,Settings!B11),Settings!C11)-ymargin</f>
        <v>6.5</v>
      </c>
      <c r="C39" s="2">
        <f>MIN(MAX(B34-J6,Settings!B11),Settings!C11)+xmargin</f>
        <v>-6.5</v>
      </c>
    </row>
    <row r="40" spans="1:12" ht="15" customHeight="1" x14ac:dyDescent="0.25">
      <c r="A40" s="2" t="s">
        <v>14</v>
      </c>
      <c r="B40" s="2">
        <f>MIN(MAX(B35-I4,Settings!B10),Settings!C10)-xmargin</f>
        <v>11.5</v>
      </c>
      <c r="C40" s="3">
        <f>MIN(MAX(B36-I5,Settings!B10),Settings!C10)+xmargin</f>
        <v>-11.5</v>
      </c>
    </row>
    <row r="42" spans="1:12" ht="15" customHeight="1" x14ac:dyDescent="0.25">
      <c r="A42" t="s">
        <v>42</v>
      </c>
    </row>
    <row r="43" spans="1:12" ht="15" customHeight="1" x14ac:dyDescent="0.25">
      <c r="B43" t="s">
        <v>16</v>
      </c>
    </row>
    <row r="44" spans="1:12" ht="15" customHeight="1" x14ac:dyDescent="0.25">
      <c r="A44" t="s">
        <v>10</v>
      </c>
      <c r="B44" s="2">
        <f>IF(B39*C39&lt;0,0,IF(ABS(B39)&lt;ABS(C39),B39,C39))</f>
        <v>0</v>
      </c>
    </row>
    <row r="45" spans="1:12" ht="15" customHeight="1" x14ac:dyDescent="0.25">
      <c r="A45" t="s">
        <v>14</v>
      </c>
      <c r="B45" s="2">
        <f>IF(B40*C40&lt;0,0,IF(ABS(B40)&lt;ABS(C40),B40,C40))</f>
        <v>0</v>
      </c>
    </row>
    <row r="47" spans="1:12" ht="15" customHeight="1" x14ac:dyDescent="0.25">
      <c r="A47" t="s">
        <v>43</v>
      </c>
      <c r="F47" t="s">
        <v>33</v>
      </c>
    </row>
    <row r="48" spans="1:12" ht="15" customHeight="1" x14ac:dyDescent="0.25">
      <c r="A48" t="s">
        <v>10</v>
      </c>
      <c r="B48">
        <f>IF(AND(G14&lt;=B33,G16&gt;=B34),1,0)</f>
        <v>1</v>
      </c>
      <c r="F48">
        <f>IF(B48=1,B44,(B39+C39)/2)</f>
        <v>0</v>
      </c>
    </row>
    <row r="49" spans="1:6" ht="15" customHeight="1" x14ac:dyDescent="0.25">
      <c r="A49" t="s">
        <v>14</v>
      </c>
      <c r="B49">
        <f>IF(AND(F14&lt;=B35,F16&gt;=B36),1,0)</f>
        <v>1</v>
      </c>
      <c r="F49">
        <f>IF(B49=1,B45,(B40+C40)/2)</f>
        <v>0</v>
      </c>
    </row>
    <row r="51" spans="1:6" ht="15" customHeight="1" x14ac:dyDescent="0.25">
      <c r="A51" t="s">
        <v>38</v>
      </c>
    </row>
    <row r="52" spans="1:6" ht="15" customHeight="1" x14ac:dyDescent="0.25">
      <c r="A52" t="s">
        <v>10</v>
      </c>
      <c r="B52">
        <f>IF(C52&gt;900,1000-C52,-C52)</f>
        <v>0</v>
      </c>
      <c r="C52">
        <f>IF(Settings!A17,Main!C23,Main!C14)</f>
        <v>0</v>
      </c>
    </row>
    <row r="53" spans="1:6" ht="15" customHeight="1" x14ac:dyDescent="0.25">
      <c r="A53" t="s">
        <v>14</v>
      </c>
      <c r="B53">
        <f>IF(C53&gt;900,C53-1000,C53)</f>
        <v>0</v>
      </c>
      <c r="C53">
        <f>IF(Settings!A17,Main!C24,Main!C15)</f>
        <v>0</v>
      </c>
    </row>
    <row r="55" spans="1:6" ht="15" customHeight="1" x14ac:dyDescent="0.25">
      <c r="A55" t="s">
        <v>44</v>
      </c>
    </row>
    <row r="56" spans="1:6" ht="15" customHeight="1" x14ac:dyDescent="0.25">
      <c r="A56" t="s">
        <v>10</v>
      </c>
      <c r="B56">
        <f>IF(AND(J22&lt;=B33,J24&gt;=B34),1,0)</f>
        <v>1</v>
      </c>
    </row>
    <row r="57" spans="1:6" ht="15" customHeight="1" x14ac:dyDescent="0.25">
      <c r="A57" t="s">
        <v>14</v>
      </c>
      <c r="B57">
        <f>IF(AND(I22&lt;=B35,I24&gt;=B36),1,0)</f>
        <v>1</v>
      </c>
    </row>
  </sheetData>
  <sheetProtection sheet="1" objects="1" scenarios="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workbookViewId="0">
      <selection activeCell="A15" sqref="A15"/>
    </sheetView>
  </sheetViews>
  <sheetFormatPr defaultRowHeight="15" x14ac:dyDescent="0.25"/>
  <sheetData>
    <row r="1" spans="1:6" x14ac:dyDescent="0.25">
      <c r="A1" t="s">
        <v>72</v>
      </c>
    </row>
    <row r="3" spans="1:6" x14ac:dyDescent="0.25">
      <c r="A3" s="22" t="s">
        <v>22</v>
      </c>
      <c r="B3" s="14"/>
      <c r="E3" t="s">
        <v>75</v>
      </c>
    </row>
    <row r="4" spans="1:6" x14ac:dyDescent="0.25">
      <c r="A4" s="15" t="s">
        <v>73</v>
      </c>
      <c r="B4" s="17" t="s">
        <v>74</v>
      </c>
      <c r="E4" t="s">
        <v>76</v>
      </c>
      <c r="F4" t="s">
        <v>77</v>
      </c>
    </row>
    <row r="5" spans="1:6" x14ac:dyDescent="0.25">
      <c r="A5" s="23">
        <v>40</v>
      </c>
      <c r="B5" s="21">
        <v>30</v>
      </c>
      <c r="E5">
        <v>1</v>
      </c>
      <c r="F5">
        <v>1</v>
      </c>
    </row>
    <row r="7" spans="1:6" x14ac:dyDescent="0.25">
      <c r="A7" s="22" t="s">
        <v>25</v>
      </c>
      <c r="B7" s="13"/>
      <c r="C7" s="14"/>
    </row>
    <row r="8" spans="1:6" x14ac:dyDescent="0.25">
      <c r="A8" s="15"/>
      <c r="B8" s="16" t="s">
        <v>18</v>
      </c>
      <c r="C8" s="17" t="s">
        <v>19</v>
      </c>
    </row>
    <row r="9" spans="1:6" x14ac:dyDescent="0.25">
      <c r="A9" s="15" t="s">
        <v>7</v>
      </c>
      <c r="B9" s="16">
        <v>-82</v>
      </c>
      <c r="C9" s="17">
        <v>2.5</v>
      </c>
    </row>
    <row r="10" spans="1:6" x14ac:dyDescent="0.25">
      <c r="A10" s="15" t="s">
        <v>14</v>
      </c>
      <c r="B10" s="16">
        <v>-16</v>
      </c>
      <c r="C10" s="17">
        <v>16</v>
      </c>
    </row>
    <row r="11" spans="1:6" x14ac:dyDescent="0.25">
      <c r="A11" s="23" t="s">
        <v>10</v>
      </c>
      <c r="B11" s="20">
        <v>-20</v>
      </c>
      <c r="C11" s="21">
        <v>24</v>
      </c>
    </row>
    <row r="13" spans="1:6" x14ac:dyDescent="0.25">
      <c r="A13" t="s">
        <v>69</v>
      </c>
    </row>
    <row r="14" spans="1:6" x14ac:dyDescent="0.25">
      <c r="A14" s="29" t="b">
        <v>0</v>
      </c>
    </row>
    <row r="16" spans="1:6" x14ac:dyDescent="0.25">
      <c r="A16" t="s">
        <v>49</v>
      </c>
    </row>
    <row r="17" spans="1:10" x14ac:dyDescent="0.25">
      <c r="A17" s="29" t="b">
        <v>0</v>
      </c>
    </row>
    <row r="21" spans="1:10" x14ac:dyDescent="0.25">
      <c r="A21" t="s">
        <v>83</v>
      </c>
    </row>
    <row r="22" spans="1:10" ht="131.25" customHeight="1" x14ac:dyDescent="0.3">
      <c r="A22" s="49"/>
      <c r="B22" s="49"/>
      <c r="C22" s="49"/>
      <c r="D22" s="49"/>
      <c r="E22" s="49"/>
      <c r="F22" s="49"/>
      <c r="G22" s="49"/>
      <c r="H22" s="49"/>
      <c r="I22" s="49"/>
      <c r="J22" s="49"/>
    </row>
  </sheetData>
  <sheetProtection sheet="1" objects="1" scenarios="1"/>
  <mergeCells count="1">
    <mergeCell ref="A22:J2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A7" sqref="A7"/>
    </sheetView>
  </sheetViews>
  <sheetFormatPr defaultRowHeight="15" x14ac:dyDescent="0.25"/>
  <sheetData>
    <row r="1" spans="1:2" x14ac:dyDescent="0.25">
      <c r="A1" t="s">
        <v>78</v>
      </c>
    </row>
    <row r="2" spans="1:2" x14ac:dyDescent="0.25">
      <c r="A2" t="s">
        <v>79</v>
      </c>
    </row>
    <row r="3" spans="1:2" x14ac:dyDescent="0.25">
      <c r="B3" t="s">
        <v>80</v>
      </c>
    </row>
    <row r="4" spans="1:2" x14ac:dyDescent="0.25">
      <c r="B4" t="s">
        <v>81</v>
      </c>
    </row>
  </sheetData>
  <sheetProtection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26</vt:i4>
      </vt:variant>
    </vt:vector>
  </HeadingPairs>
  <TitlesOfParts>
    <vt:vector size="30" baseType="lpstr">
      <vt:lpstr>Main</vt:lpstr>
      <vt:lpstr>Calcs</vt:lpstr>
      <vt:lpstr>Settings</vt:lpstr>
      <vt:lpstr>Version History</vt:lpstr>
      <vt:lpstr>Ax</vt:lpstr>
      <vt:lpstr>Ay</vt:lpstr>
      <vt:lpstr>Bx</vt:lpstr>
      <vt:lpstr>By</vt:lpstr>
      <vt:lpstr>Coll_raw</vt:lpstr>
      <vt:lpstr>Cx</vt:lpstr>
      <vt:lpstr>Cy</vt:lpstr>
      <vt:lpstr>Dx</vt:lpstr>
      <vt:lpstr>Dy</vt:lpstr>
      <vt:lpstr>hide_jaw_labels</vt:lpstr>
      <vt:lpstr>lat_limit_max</vt:lpstr>
      <vt:lpstr>lat_limit_min</vt:lpstr>
      <vt:lpstr>lng_limit_max</vt:lpstr>
      <vt:lpstr>lng_limit_min</vt:lpstr>
      <vt:lpstr>mag</vt:lpstr>
      <vt:lpstr>offset_dist</vt:lpstr>
      <vt:lpstr>show_jaw_labels</vt:lpstr>
      <vt:lpstr>VRT</vt:lpstr>
      <vt:lpstr>vrt_limit_max</vt:lpstr>
      <vt:lpstr>vrt_limit_min</vt:lpstr>
      <vt:lpstr>X1_raw</vt:lpstr>
      <vt:lpstr>X2_raw</vt:lpstr>
      <vt:lpstr>xmargin</vt:lpstr>
      <vt:lpstr>Y1_raw</vt:lpstr>
      <vt:lpstr>Y2_raw</vt:lpstr>
      <vt:lpstr>ymargin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Mcgrath</dc:creator>
  <cp:lastModifiedBy>McGrath, Andrew</cp:lastModifiedBy>
  <dcterms:created xsi:type="dcterms:W3CDTF">2017-12-12T02:03:07Z</dcterms:created>
  <dcterms:modified xsi:type="dcterms:W3CDTF">2018-07-26T03:08:33Z</dcterms:modified>
</cp:coreProperties>
</file>